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https://uic.sharepoint.com/sites/SD/Documents partages/EES Platform - Global projects/Energy Network/Meetings/2019/40th Meeting 13Nov2019 Zürich/Workshop/Slides/"/>
    </mc:Choice>
  </mc:AlternateContent>
  <xr:revisionPtr revIDLastSave="0" documentId="11_4C7F532B49282C1E3C8F51E27C47A7E02ED50C14" xr6:coauthVersionLast="43" xr6:coauthVersionMax="43" xr10:uidLastSave="{00000000-0000-0000-0000-000000000000}"/>
  <bookViews>
    <workbookView xWindow="1110" yWindow="-120" windowWidth="20610" windowHeight="13740" firstSheet="3" activeTab="8" xr2:uid="{00000000-000D-0000-FFFF-FFFF00000000}"/>
  </bookViews>
  <sheets>
    <sheet name="References" sheetId="9" r:id="rId1"/>
    <sheet name="General" sheetId="3" r:id="rId2"/>
    <sheet name="HydrogenFC" sheetId="2" r:id="rId3"/>
    <sheet name="Diesel" sheetId="4" r:id="rId4"/>
    <sheet name="Electric" sheetId="5" r:id="rId5"/>
    <sheet name="BatteryElectric" sheetId="6" r:id="rId6"/>
    <sheet name="CostAnalysis vs time" sheetId="15" r:id="rId7"/>
    <sheet name="Fig costanalysis vs time" sheetId="16" r:id="rId8"/>
    <sheet name="Results" sheetId="7" r:id="rId9"/>
    <sheet name="TCO ifo line length" sheetId="8" r:id="rId10"/>
    <sheet name="TCO, incl.CO2 costs, ifo length" sheetId="11" r:id="rId11"/>
    <sheet name="CO2 per train ifo length" sheetId="10" r:id="rId12"/>
    <sheet name="TCO ifo #trains" sheetId="12" r:id="rId13"/>
    <sheet name="TCO inc. CO2 cost ifo #trains" sheetId="14" r:id="rId14"/>
    <sheet name="CO2 per train ifo #trains" sheetId="13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F8" i="15" l="1"/>
  <c r="BF9" i="15"/>
  <c r="BD8" i="15"/>
  <c r="BD9" i="15"/>
  <c r="BE8" i="15"/>
  <c r="BE9" i="15"/>
  <c r="AO8" i="15"/>
  <c r="AO9" i="15"/>
  <c r="AN8" i="15"/>
  <c r="AN9" i="15"/>
  <c r="AN10" i="15"/>
  <c r="AM8" i="15"/>
  <c r="AM9" i="15"/>
  <c r="Z8" i="15"/>
  <c r="Z9" i="15"/>
  <c r="Z10" i="15"/>
  <c r="Y8" i="15"/>
  <c r="Y9" i="15"/>
  <c r="H8" i="15"/>
  <c r="H9" i="15"/>
  <c r="G8" i="15"/>
  <c r="G9" i="15"/>
  <c r="G10" i="15"/>
  <c r="F8" i="15"/>
  <c r="F9" i="15"/>
  <c r="F10" i="15"/>
  <c r="E8" i="15"/>
  <c r="E9" i="15"/>
  <c r="E10" i="15"/>
  <c r="D8" i="15"/>
  <c r="D9" i="15"/>
  <c r="D10" i="15"/>
  <c r="C8" i="15"/>
  <c r="C9" i="15"/>
  <c r="C10" i="15"/>
  <c r="BC9" i="15"/>
  <c r="BC10" i="15" s="1"/>
  <c r="BC11" i="15" s="1"/>
  <c r="BC12" i="15" s="1"/>
  <c r="BC13" i="15" s="1"/>
  <c r="BC14" i="15" s="1"/>
  <c r="BC15" i="15" s="1"/>
  <c r="BC16" i="15" s="1"/>
  <c r="BC17" i="15" s="1"/>
  <c r="BC18" i="15" s="1"/>
  <c r="BC19" i="15" s="1"/>
  <c r="BC20" i="15" s="1"/>
  <c r="BC21" i="15" s="1"/>
  <c r="BC22" i="15" s="1"/>
  <c r="BC23" i="15" s="1"/>
  <c r="BC24" i="15" s="1"/>
  <c r="BC25" i="15" s="1"/>
  <c r="BC26" i="15" s="1"/>
  <c r="BC27" i="15" s="1"/>
  <c r="BC28" i="15" s="1"/>
  <c r="BC29" i="15" s="1"/>
  <c r="BC30" i="15" s="1"/>
  <c r="BC31" i="15" s="1"/>
  <c r="BC32" i="15" s="1"/>
  <c r="BC33" i="15" s="1"/>
  <c r="BC34" i="15" s="1"/>
  <c r="BC35" i="15" s="1"/>
  <c r="BC36" i="15" s="1"/>
  <c r="AL8" i="15"/>
  <c r="AL9" i="15" s="1"/>
  <c r="AL10" i="15" s="1"/>
  <c r="AL11" i="15" s="1"/>
  <c r="AL12" i="15" s="1"/>
  <c r="AL13" i="15" s="1"/>
  <c r="AL14" i="15" s="1"/>
  <c r="AL15" i="15" s="1"/>
  <c r="AL16" i="15" s="1"/>
  <c r="AL17" i="15" s="1"/>
  <c r="AL18" i="15" s="1"/>
  <c r="AL19" i="15" s="1"/>
  <c r="AL20" i="15" s="1"/>
  <c r="AL21" i="15" s="1"/>
  <c r="AL22" i="15" s="1"/>
  <c r="AL23" i="15" s="1"/>
  <c r="AL24" i="15" s="1"/>
  <c r="AL25" i="15" s="1"/>
  <c r="AL26" i="15" s="1"/>
  <c r="AL27" i="15" s="1"/>
  <c r="AL28" i="15" s="1"/>
  <c r="AL29" i="15" s="1"/>
  <c r="AL30" i="15" s="1"/>
  <c r="AL31" i="15" s="1"/>
  <c r="AL32" i="15" s="1"/>
  <c r="AL33" i="15" s="1"/>
  <c r="AL34" i="15" s="1"/>
  <c r="AL35" i="15" s="1"/>
  <c r="AL36" i="15" s="1"/>
  <c r="AE7" i="15"/>
  <c r="X8" i="15"/>
  <c r="X9" i="15" s="1"/>
  <c r="X10" i="15" s="1"/>
  <c r="B10" i="15"/>
  <c r="AO10" i="15" s="1"/>
  <c r="E53" i="6"/>
  <c r="E27" i="6"/>
  <c r="E29" i="6" s="1"/>
  <c r="E51" i="6" s="1"/>
  <c r="E52" i="5"/>
  <c r="E47" i="4"/>
  <c r="P41" i="2"/>
  <c r="P21" i="2"/>
  <c r="E5" i="6"/>
  <c r="E33" i="4"/>
  <c r="R7" i="15" l="1"/>
  <c r="R9" i="15" s="1"/>
  <c r="E73" i="2"/>
  <c r="BD10" i="15"/>
  <c r="Y10" i="15"/>
  <c r="BE10" i="15"/>
  <c r="AM10" i="15"/>
  <c r="BF10" i="15"/>
  <c r="H10" i="15"/>
  <c r="BL7" i="15"/>
  <c r="BL11" i="15" s="1"/>
  <c r="BL34" i="15"/>
  <c r="BL14" i="15"/>
  <c r="BL33" i="15"/>
  <c r="BL29" i="15"/>
  <c r="BL17" i="15"/>
  <c r="BL32" i="15"/>
  <c r="BL28" i="15"/>
  <c r="BL16" i="15"/>
  <c r="BL31" i="15"/>
  <c r="BL27" i="15"/>
  <c r="BL15" i="15"/>
  <c r="X11" i="15"/>
  <c r="AE11" i="15" s="1"/>
  <c r="AE10" i="15"/>
  <c r="AE9" i="15"/>
  <c r="AE8" i="15"/>
  <c r="X12" i="15"/>
  <c r="B11" i="15"/>
  <c r="R10" i="15"/>
  <c r="E35" i="6"/>
  <c r="E31" i="6"/>
  <c r="F8" i="2"/>
  <c r="D30" i="3"/>
  <c r="F42" i="2" s="1"/>
  <c r="C7" i="15" s="1"/>
  <c r="I7" i="15" s="1"/>
  <c r="I8" i="15" s="1"/>
  <c r="I9" i="15" s="1"/>
  <c r="D28" i="3"/>
  <c r="D27" i="3"/>
  <c r="L19" i="3"/>
  <c r="L21" i="3" s="1"/>
  <c r="BL36" i="15" l="1"/>
  <c r="BL22" i="15"/>
  <c r="BL8" i="15"/>
  <c r="BL9" i="15"/>
  <c r="BL10" i="15"/>
  <c r="BL35" i="15"/>
  <c r="R8" i="15"/>
  <c r="BL12" i="15"/>
  <c r="BL13" i="15"/>
  <c r="BL26" i="15"/>
  <c r="BD11" i="15"/>
  <c r="Z11" i="15"/>
  <c r="E11" i="15"/>
  <c r="AO11" i="15"/>
  <c r="H11" i="15"/>
  <c r="D11" i="15"/>
  <c r="BF11" i="15"/>
  <c r="F11" i="15"/>
  <c r="C11" i="15"/>
  <c r="AM11" i="15"/>
  <c r="BE11" i="15"/>
  <c r="Y11" i="15"/>
  <c r="AN11" i="15"/>
  <c r="G11" i="15"/>
  <c r="BL19" i="15"/>
  <c r="BL20" i="15"/>
  <c r="BL21" i="15"/>
  <c r="BL30" i="15"/>
  <c r="BL23" i="15"/>
  <c r="BL24" i="15"/>
  <c r="BL25" i="15"/>
  <c r="BL18" i="15"/>
  <c r="E37" i="6"/>
  <c r="BM7" i="15"/>
  <c r="E44" i="6"/>
  <c r="BE7" i="15"/>
  <c r="BH7" i="15" s="1"/>
  <c r="I10" i="15"/>
  <c r="X13" i="15"/>
  <c r="AE12" i="15"/>
  <c r="B12" i="15"/>
  <c r="R11" i="15"/>
  <c r="F40" i="2"/>
  <c r="F39" i="2"/>
  <c r="E62" i="2"/>
  <c r="F41" i="2"/>
  <c r="F50" i="2"/>
  <c r="E28" i="6"/>
  <c r="E34" i="6" s="1"/>
  <c r="E22" i="4"/>
  <c r="E32" i="4" s="1"/>
  <c r="E27" i="5"/>
  <c r="L27" i="3"/>
  <c r="L26" i="3"/>
  <c r="D8" i="3"/>
  <c r="AN12" i="15" l="1"/>
  <c r="G12" i="15"/>
  <c r="BD12" i="15"/>
  <c r="Z12" i="15"/>
  <c r="AO12" i="15"/>
  <c r="H12" i="15"/>
  <c r="D12" i="15"/>
  <c r="BE12" i="15"/>
  <c r="Y12" i="15"/>
  <c r="BF12" i="15"/>
  <c r="F12" i="15"/>
  <c r="C12" i="15"/>
  <c r="AM12" i="15"/>
  <c r="E12" i="15"/>
  <c r="E35" i="4"/>
  <c r="Y7" i="15"/>
  <c r="AA7" i="15" s="1"/>
  <c r="AA8" i="15" s="1"/>
  <c r="AA9" i="15" s="1"/>
  <c r="AA10" i="15" s="1"/>
  <c r="E43" i="6"/>
  <c r="BD7" i="15"/>
  <c r="BG7" i="15" s="1"/>
  <c r="BG8" i="15" s="1"/>
  <c r="BG9" i="15" s="1"/>
  <c r="BG10" i="15" s="1"/>
  <c r="BM11" i="15"/>
  <c r="BM29" i="15"/>
  <c r="BM13" i="15"/>
  <c r="BM28" i="15"/>
  <c r="BM12" i="15"/>
  <c r="BM27" i="15"/>
  <c r="BM14" i="15"/>
  <c r="BM22" i="15"/>
  <c r="BM25" i="15"/>
  <c r="BM9" i="15"/>
  <c r="BM24" i="15"/>
  <c r="BM23" i="15"/>
  <c r="BM8" i="15"/>
  <c r="BM26" i="15"/>
  <c r="BM34" i="15"/>
  <c r="BM21" i="15"/>
  <c r="BM36" i="15"/>
  <c r="BM20" i="15"/>
  <c r="BM35" i="15"/>
  <c r="BM19" i="15"/>
  <c r="BM30" i="15"/>
  <c r="BM10" i="15"/>
  <c r="BM18" i="15"/>
  <c r="BM33" i="15"/>
  <c r="BM31" i="15"/>
  <c r="BM16" i="15"/>
  <c r="BM17" i="15"/>
  <c r="BM15" i="15"/>
  <c r="BM32" i="15"/>
  <c r="E46" i="6"/>
  <c r="BF7" i="15"/>
  <c r="BI7" i="15" s="1"/>
  <c r="BI8" i="15" s="1"/>
  <c r="BI9" i="15" s="1"/>
  <c r="BI10" i="15" s="1"/>
  <c r="BI11" i="15" s="1"/>
  <c r="BI12" i="15" s="1"/>
  <c r="BH8" i="15"/>
  <c r="AA11" i="15"/>
  <c r="I11" i="15"/>
  <c r="X14" i="15"/>
  <c r="AE13" i="15"/>
  <c r="B13" i="15"/>
  <c r="R12" i="15"/>
  <c r="L28" i="3"/>
  <c r="P23" i="2" s="1"/>
  <c r="P42" i="2" s="1"/>
  <c r="S7" i="15" s="1"/>
  <c r="D10" i="3"/>
  <c r="E28" i="5"/>
  <c r="AU7" i="15" s="1"/>
  <c r="E52" i="6"/>
  <c r="F46" i="6"/>
  <c r="F45" i="6"/>
  <c r="F44" i="6"/>
  <c r="F43" i="6"/>
  <c r="E36" i="6"/>
  <c r="E45" i="6" s="1"/>
  <c r="E51" i="5"/>
  <c r="F45" i="5"/>
  <c r="F44" i="5"/>
  <c r="F43" i="5"/>
  <c r="F42" i="5"/>
  <c r="L8" i="3"/>
  <c r="L9" i="3" s="1"/>
  <c r="E30" i="5"/>
  <c r="E35" i="5"/>
  <c r="E44" i="5" s="1"/>
  <c r="F42" i="4"/>
  <c r="F41" i="4"/>
  <c r="F40" i="4"/>
  <c r="E41" i="4"/>
  <c r="E34" i="4"/>
  <c r="E42" i="4" s="1"/>
  <c r="F67" i="2"/>
  <c r="F66" i="2"/>
  <c r="F65" i="2"/>
  <c r="F64" i="2"/>
  <c r="F63" i="2"/>
  <c r="X25" i="2"/>
  <c r="X29" i="2" s="1"/>
  <c r="X30" i="2" s="1"/>
  <c r="X34" i="2" s="1"/>
  <c r="X27" i="2"/>
  <c r="X22" i="2"/>
  <c r="Q22" i="2"/>
  <c r="P22" i="2"/>
  <c r="Q21" i="2"/>
  <c r="H22" i="2"/>
  <c r="H23" i="2"/>
  <c r="F47" i="2" s="1"/>
  <c r="H24" i="2"/>
  <c r="H25" i="2"/>
  <c r="H21" i="2"/>
  <c r="E65" i="2" l="1"/>
  <c r="F7" i="15"/>
  <c r="L7" i="15" s="1"/>
  <c r="L8" i="15" s="1"/>
  <c r="L9" i="15" s="1"/>
  <c r="L10" i="15" s="1"/>
  <c r="L11" i="15" s="1"/>
  <c r="L12" i="15" s="1"/>
  <c r="L13" i="15" s="1"/>
  <c r="AN13" i="15"/>
  <c r="G13" i="15"/>
  <c r="BD13" i="15"/>
  <c r="Z13" i="15"/>
  <c r="E13" i="15"/>
  <c r="AO13" i="15"/>
  <c r="H13" i="15"/>
  <c r="F13" i="15"/>
  <c r="C13" i="15"/>
  <c r="BF13" i="15"/>
  <c r="BI13" i="15" s="1"/>
  <c r="AM13" i="15"/>
  <c r="BE13" i="15"/>
  <c r="Y13" i="15"/>
  <c r="E43" i="4"/>
  <c r="Z7" i="15"/>
  <c r="AB7" i="15" s="1"/>
  <c r="AB8" i="15" s="1"/>
  <c r="AB9" i="15" s="1"/>
  <c r="AB10" i="15" s="1"/>
  <c r="AB11" i="15" s="1"/>
  <c r="AB12" i="15" s="1"/>
  <c r="AB13" i="15" s="1"/>
  <c r="E36" i="5"/>
  <c r="AV7" i="15"/>
  <c r="S9" i="15"/>
  <c r="S8" i="15"/>
  <c r="S10" i="15"/>
  <c r="S11" i="15"/>
  <c r="AU12" i="15"/>
  <c r="AU15" i="15"/>
  <c r="AU30" i="15"/>
  <c r="AU14" i="15"/>
  <c r="AU8" i="15"/>
  <c r="AU21" i="15"/>
  <c r="AU36" i="15"/>
  <c r="AU20" i="15"/>
  <c r="AU35" i="15"/>
  <c r="AU23" i="15"/>
  <c r="AU26" i="15"/>
  <c r="AU10" i="15"/>
  <c r="AU33" i="15"/>
  <c r="AU17" i="15"/>
  <c r="AU32" i="15"/>
  <c r="AU16" i="15"/>
  <c r="AU19" i="15"/>
  <c r="AU27" i="15"/>
  <c r="AU22" i="15"/>
  <c r="AU29" i="15"/>
  <c r="AU13" i="15"/>
  <c r="AU28" i="15"/>
  <c r="AU31" i="15"/>
  <c r="AU34" i="15"/>
  <c r="AU11" i="15"/>
  <c r="AU9" i="15"/>
  <c r="AU24" i="15"/>
  <c r="AU18" i="15"/>
  <c r="AU25" i="15"/>
  <c r="S12" i="15"/>
  <c r="BH9" i="15"/>
  <c r="BG11" i="15"/>
  <c r="AA12" i="15"/>
  <c r="I12" i="15"/>
  <c r="X15" i="15"/>
  <c r="AE14" i="15"/>
  <c r="B14" i="15"/>
  <c r="S13" i="15"/>
  <c r="R13" i="15"/>
  <c r="E50" i="5"/>
  <c r="E34" i="5"/>
  <c r="E33" i="5"/>
  <c r="X28" i="2"/>
  <c r="X33" i="2" s="1"/>
  <c r="L10" i="3"/>
  <c r="X26" i="2"/>
  <c r="AE26" i="2" s="1"/>
  <c r="BE14" i="15" l="1"/>
  <c r="Y14" i="15"/>
  <c r="E14" i="15"/>
  <c r="AN14" i="15"/>
  <c r="G14" i="15"/>
  <c r="F14" i="15"/>
  <c r="L14" i="15" s="1"/>
  <c r="C14" i="15"/>
  <c r="BD14" i="15"/>
  <c r="AO14" i="15"/>
  <c r="Z14" i="15"/>
  <c r="D14" i="15"/>
  <c r="H14" i="15"/>
  <c r="BF14" i="15"/>
  <c r="BI14" i="15" s="1"/>
  <c r="AM14" i="15"/>
  <c r="AB14" i="15"/>
  <c r="E42" i="5"/>
  <c r="AM7" i="15"/>
  <c r="AP7" i="15" s="1"/>
  <c r="AP8" i="15" s="1"/>
  <c r="AP9" i="15" s="1"/>
  <c r="AP10" i="15" s="1"/>
  <c r="AP11" i="15" s="1"/>
  <c r="AP12" i="15" s="1"/>
  <c r="AP13" i="15" s="1"/>
  <c r="E43" i="5"/>
  <c r="AN7" i="15"/>
  <c r="AQ7" i="15" s="1"/>
  <c r="AV10" i="15"/>
  <c r="AV9" i="15"/>
  <c r="AV13" i="15"/>
  <c r="AV28" i="15"/>
  <c r="AV12" i="15"/>
  <c r="AV27" i="15"/>
  <c r="AV11" i="15"/>
  <c r="AV22" i="15"/>
  <c r="AV33" i="15"/>
  <c r="AV24" i="15"/>
  <c r="AV23" i="15"/>
  <c r="AV34" i="15"/>
  <c r="AV18" i="15"/>
  <c r="AV17" i="15"/>
  <c r="AV8" i="15"/>
  <c r="AV36" i="15"/>
  <c r="AV20" i="15"/>
  <c r="AV35" i="15"/>
  <c r="AV19" i="15"/>
  <c r="AV30" i="15"/>
  <c r="AV14" i="15"/>
  <c r="AV25" i="15"/>
  <c r="AV21" i="15"/>
  <c r="AV29" i="15"/>
  <c r="AV16" i="15"/>
  <c r="AV26" i="15"/>
  <c r="AV31" i="15"/>
  <c r="AV32" i="15"/>
  <c r="AV15" i="15"/>
  <c r="E45" i="5"/>
  <c r="AO7" i="15"/>
  <c r="AR7" i="15" s="1"/>
  <c r="AR8" i="15" s="1"/>
  <c r="AR9" i="15" s="1"/>
  <c r="AR10" i="15" s="1"/>
  <c r="AR11" i="15" s="1"/>
  <c r="AR12" i="15" s="1"/>
  <c r="AR13" i="15" s="1"/>
  <c r="AR14" i="15" s="1"/>
  <c r="AR15" i="15" s="1"/>
  <c r="BH10" i="15"/>
  <c r="BG12" i="15"/>
  <c r="AA13" i="15"/>
  <c r="I13" i="15"/>
  <c r="X16" i="15"/>
  <c r="AE15" i="15"/>
  <c r="B15" i="15"/>
  <c r="R14" i="15"/>
  <c r="S14" i="15"/>
  <c r="L12" i="3"/>
  <c r="F10" i="2" s="1"/>
  <c r="F12" i="2" s="1"/>
  <c r="F13" i="2" s="1"/>
  <c r="F45" i="2" s="1"/>
  <c r="L17" i="3"/>
  <c r="L20" i="3" s="1"/>
  <c r="AE21" i="2"/>
  <c r="AE22" i="2" s="1"/>
  <c r="E40" i="4"/>
  <c r="E72" i="2"/>
  <c r="E47" i="5" s="1"/>
  <c r="L14" i="3"/>
  <c r="BI15" i="15" l="1"/>
  <c r="L15" i="15"/>
  <c r="AM15" i="15"/>
  <c r="BE15" i="15"/>
  <c r="Y15" i="15"/>
  <c r="E15" i="15"/>
  <c r="AN15" i="15"/>
  <c r="G15" i="15"/>
  <c r="H15" i="15"/>
  <c r="BD15" i="15"/>
  <c r="Z15" i="15"/>
  <c r="AB15" i="15" s="1"/>
  <c r="D15" i="15"/>
  <c r="AO15" i="15"/>
  <c r="BF15" i="15"/>
  <c r="F15" i="15"/>
  <c r="C15" i="15"/>
  <c r="AR16" i="15"/>
  <c r="D13" i="15"/>
  <c r="D7" i="15"/>
  <c r="J7" i="15" s="1"/>
  <c r="J8" i="15" s="1"/>
  <c r="J9" i="15" s="1"/>
  <c r="J10" i="15" s="1"/>
  <c r="J11" i="15" s="1"/>
  <c r="J12" i="15" s="1"/>
  <c r="J13" i="15" s="1"/>
  <c r="J14" i="15" s="1"/>
  <c r="J15" i="15" s="1"/>
  <c r="AQ8" i="15"/>
  <c r="AQ9" i="15" s="1"/>
  <c r="BH11" i="15"/>
  <c r="BG13" i="15"/>
  <c r="AP14" i="15"/>
  <c r="AA14" i="15"/>
  <c r="I14" i="15"/>
  <c r="X17" i="15"/>
  <c r="AE16" i="15"/>
  <c r="B16" i="15"/>
  <c r="S15" i="15"/>
  <c r="R15" i="15"/>
  <c r="X38" i="2"/>
  <c r="AE27" i="2"/>
  <c r="AE28" i="2" s="1"/>
  <c r="X37" i="2"/>
  <c r="X39" i="2" s="1"/>
  <c r="X40" i="2" s="1"/>
  <c r="P31" i="2" s="1"/>
  <c r="L63" i="2" s="1"/>
  <c r="P33" i="2"/>
  <c r="P36" i="2" s="1"/>
  <c r="F15" i="2"/>
  <c r="F46" i="2" s="1"/>
  <c r="L17" i="4"/>
  <c r="P24" i="2"/>
  <c r="P40" i="2" s="1"/>
  <c r="Q7" i="15" s="1"/>
  <c r="Q15" i="15" s="1"/>
  <c r="E8" i="6"/>
  <c r="N22" i="6" s="1"/>
  <c r="E8" i="5"/>
  <c r="N22" i="5" s="1"/>
  <c r="AS7" i="15" s="1"/>
  <c r="E63" i="2"/>
  <c r="F48" i="2"/>
  <c r="F49" i="2"/>
  <c r="AE23" i="2"/>
  <c r="AE24" i="2" s="1"/>
  <c r="N20" i="6"/>
  <c r="BN7" i="15" s="1"/>
  <c r="N20" i="5"/>
  <c r="AW7" i="15" s="1"/>
  <c r="L19" i="4"/>
  <c r="N15" i="5"/>
  <c r="AT7" i="15" s="1"/>
  <c r="E11" i="4"/>
  <c r="BF16" i="15" l="1"/>
  <c r="BI16" i="15" s="1"/>
  <c r="F16" i="15"/>
  <c r="L16" i="15" s="1"/>
  <c r="AM16" i="15"/>
  <c r="D16" i="15"/>
  <c r="J16" i="15" s="1"/>
  <c r="BE16" i="15"/>
  <c r="Y16" i="15"/>
  <c r="E16" i="15"/>
  <c r="AN16" i="15"/>
  <c r="G16" i="15"/>
  <c r="BD16" i="15"/>
  <c r="Z16" i="15"/>
  <c r="AB16" i="15" s="1"/>
  <c r="AO16" i="15"/>
  <c r="AR17" i="15" s="1"/>
  <c r="H16" i="15"/>
  <c r="C16" i="15"/>
  <c r="AT21" i="15"/>
  <c r="AT10" i="15"/>
  <c r="AT26" i="15"/>
  <c r="AT15" i="15"/>
  <c r="AT31" i="15"/>
  <c r="AT20" i="15"/>
  <c r="AT36" i="15"/>
  <c r="AT29" i="15"/>
  <c r="AT9" i="15"/>
  <c r="AT14" i="15"/>
  <c r="AT30" i="15"/>
  <c r="AT19" i="15"/>
  <c r="AT35" i="15"/>
  <c r="AT24" i="15"/>
  <c r="AT8" i="15"/>
  <c r="AT13" i="15"/>
  <c r="AT18" i="15"/>
  <c r="AT34" i="15"/>
  <c r="AT23" i="15"/>
  <c r="AT12" i="15"/>
  <c r="AT28" i="15"/>
  <c r="AT17" i="15"/>
  <c r="AT22" i="15"/>
  <c r="AT11" i="15"/>
  <c r="AT16" i="15"/>
  <c r="AT32" i="15"/>
  <c r="AT33" i="15"/>
  <c r="AT25" i="15"/>
  <c r="AT27" i="15"/>
  <c r="AS10" i="15"/>
  <c r="AS30" i="15"/>
  <c r="AS14" i="15"/>
  <c r="AS11" i="15"/>
  <c r="AS27" i="15"/>
  <c r="AS16" i="15"/>
  <c r="AS32" i="15"/>
  <c r="AS17" i="15"/>
  <c r="AS33" i="15"/>
  <c r="AS15" i="15"/>
  <c r="AS31" i="15"/>
  <c r="AS20" i="15"/>
  <c r="AS36" i="15"/>
  <c r="AS21" i="15"/>
  <c r="AS8" i="15"/>
  <c r="AX8" i="15" s="1"/>
  <c r="AS34" i="15"/>
  <c r="AS18" i="15"/>
  <c r="AS19" i="15"/>
  <c r="AS35" i="15"/>
  <c r="AS24" i="15"/>
  <c r="AS9" i="15"/>
  <c r="AS25" i="15"/>
  <c r="AS22" i="15"/>
  <c r="AS13" i="15"/>
  <c r="AS26" i="15"/>
  <c r="AS23" i="15"/>
  <c r="AS29" i="15"/>
  <c r="AS12" i="15"/>
  <c r="AS28" i="15"/>
  <c r="E64" i="2"/>
  <c r="E7" i="15"/>
  <c r="K7" i="15" s="1"/>
  <c r="K8" i="15" s="1"/>
  <c r="K9" i="15" s="1"/>
  <c r="K10" i="15" s="1"/>
  <c r="K11" i="15" s="1"/>
  <c r="K12" i="15" s="1"/>
  <c r="K13" i="15" s="1"/>
  <c r="K14" i="15" s="1"/>
  <c r="K15" i="15" s="1"/>
  <c r="K16" i="15" s="1"/>
  <c r="AX7" i="15"/>
  <c r="AW10" i="15"/>
  <c r="AW33" i="15"/>
  <c r="AW13" i="15"/>
  <c r="AW24" i="15"/>
  <c r="AW23" i="15"/>
  <c r="AW30" i="15"/>
  <c r="AW14" i="15"/>
  <c r="AW17" i="15"/>
  <c r="AW25" i="15"/>
  <c r="AW36" i="15"/>
  <c r="AW20" i="15"/>
  <c r="AW35" i="15"/>
  <c r="AW19" i="15"/>
  <c r="AW26" i="15"/>
  <c r="AW8" i="15"/>
  <c r="AW9" i="15"/>
  <c r="AW32" i="15"/>
  <c r="AW16" i="15"/>
  <c r="AW31" i="15"/>
  <c r="AW15" i="15"/>
  <c r="AW22" i="15"/>
  <c r="AW21" i="15"/>
  <c r="AW29" i="15"/>
  <c r="AW27" i="15"/>
  <c r="AW28" i="15"/>
  <c r="AW11" i="15"/>
  <c r="AW34" i="15"/>
  <c r="AW12" i="15"/>
  <c r="AW18" i="15"/>
  <c r="BN19" i="15"/>
  <c r="BN35" i="15"/>
  <c r="BN16" i="15"/>
  <c r="BN32" i="15"/>
  <c r="BN22" i="15"/>
  <c r="BN17" i="15"/>
  <c r="BN33" i="15"/>
  <c r="BN23" i="15"/>
  <c r="BN18" i="15"/>
  <c r="BN20" i="15"/>
  <c r="BN36" i="15"/>
  <c r="BN34" i="15"/>
  <c r="BN21" i="15"/>
  <c r="BN8" i="15"/>
  <c r="BN11" i="15"/>
  <c r="BN27" i="15"/>
  <c r="BN30" i="15"/>
  <c r="BN24" i="15"/>
  <c r="BN10" i="15"/>
  <c r="BN9" i="15"/>
  <c r="BN25" i="15"/>
  <c r="BN26" i="15"/>
  <c r="BN28" i="15"/>
  <c r="BN15" i="15"/>
  <c r="BN14" i="15"/>
  <c r="BN31" i="15"/>
  <c r="BN13" i="15"/>
  <c r="BN12" i="15"/>
  <c r="BN29" i="15"/>
  <c r="E46" i="4"/>
  <c r="AD7" i="15"/>
  <c r="AD17" i="15" s="1"/>
  <c r="E45" i="4"/>
  <c r="AF7" i="15"/>
  <c r="E54" i="6"/>
  <c r="BJ7" i="15"/>
  <c r="AQ10" i="15"/>
  <c r="AX9" i="15"/>
  <c r="G7" i="15"/>
  <c r="M7" i="15" s="1"/>
  <c r="M8" i="15" s="1"/>
  <c r="M9" i="15" s="1"/>
  <c r="M10" i="15" s="1"/>
  <c r="M11" i="15" s="1"/>
  <c r="M12" i="15" s="1"/>
  <c r="M13" i="15" s="1"/>
  <c r="M14" i="15" s="1"/>
  <c r="M15" i="15" s="1"/>
  <c r="M16" i="15" s="1"/>
  <c r="Q8" i="15"/>
  <c r="Q9" i="15"/>
  <c r="Q10" i="15"/>
  <c r="Q11" i="15"/>
  <c r="Q12" i="15"/>
  <c r="Q13" i="15"/>
  <c r="Q14" i="15"/>
  <c r="E70" i="2"/>
  <c r="P7" i="15"/>
  <c r="BH12" i="15"/>
  <c r="BG14" i="15"/>
  <c r="AP15" i="15"/>
  <c r="AA15" i="15"/>
  <c r="I15" i="15"/>
  <c r="X18" i="15"/>
  <c r="AE17" i="15"/>
  <c r="B17" i="15"/>
  <c r="S16" i="15"/>
  <c r="R16" i="15"/>
  <c r="Q16" i="15"/>
  <c r="AE30" i="2"/>
  <c r="AE31" i="2" s="1"/>
  <c r="P32" i="2" s="1"/>
  <c r="P39" i="2" s="1"/>
  <c r="P38" i="2"/>
  <c r="F16" i="2"/>
  <c r="L62" i="2" s="1"/>
  <c r="F51" i="2"/>
  <c r="N42" i="5"/>
  <c r="N45" i="5" s="1"/>
  <c r="E53" i="5"/>
  <c r="E66" i="2"/>
  <c r="L20" i="4"/>
  <c r="K40" i="4"/>
  <c r="K42" i="4" s="1"/>
  <c r="E49" i="5"/>
  <c r="N15" i="6"/>
  <c r="N43" i="6"/>
  <c r="N46" i="6" s="1"/>
  <c r="E48" i="6"/>
  <c r="BI17" i="15" l="1"/>
  <c r="L64" i="2"/>
  <c r="K17" i="15"/>
  <c r="M17" i="15"/>
  <c r="AO17" i="15"/>
  <c r="AR18" i="15" s="1"/>
  <c r="H17" i="15"/>
  <c r="BF17" i="15"/>
  <c r="C17" i="15"/>
  <c r="AM17" i="15"/>
  <c r="BE17" i="15"/>
  <c r="Y17" i="15"/>
  <c r="BD17" i="15"/>
  <c r="E17" i="15"/>
  <c r="AN17" i="15"/>
  <c r="G17" i="15"/>
  <c r="Z17" i="15"/>
  <c r="AB17" i="15" s="1"/>
  <c r="D17" i="15"/>
  <c r="J17" i="15" s="1"/>
  <c r="F17" i="15"/>
  <c r="L17" i="15" s="1"/>
  <c r="AF8" i="15"/>
  <c r="AF11" i="15"/>
  <c r="AF10" i="15"/>
  <c r="AF9" i="15"/>
  <c r="AF12" i="15"/>
  <c r="AF13" i="15"/>
  <c r="AF14" i="15"/>
  <c r="AF15" i="15"/>
  <c r="AF16" i="15"/>
  <c r="E67" i="2"/>
  <c r="H7" i="15"/>
  <c r="N7" i="15" s="1"/>
  <c r="N8" i="15" s="1"/>
  <c r="N9" i="15" s="1"/>
  <c r="N10" i="15" s="1"/>
  <c r="N11" i="15" s="1"/>
  <c r="N12" i="15" s="1"/>
  <c r="N13" i="15" s="1"/>
  <c r="N14" i="15" s="1"/>
  <c r="N15" i="15" s="1"/>
  <c r="N16" i="15" s="1"/>
  <c r="N17" i="15" s="1"/>
  <c r="AQ11" i="15"/>
  <c r="AX10" i="15"/>
  <c r="BJ11" i="15"/>
  <c r="BJ10" i="15"/>
  <c r="BJ8" i="15"/>
  <c r="BJ21" i="15"/>
  <c r="BJ36" i="15"/>
  <c r="BJ20" i="15"/>
  <c r="BJ27" i="15"/>
  <c r="BJ22" i="15"/>
  <c r="BJ30" i="15"/>
  <c r="BJ33" i="15"/>
  <c r="BJ17" i="15"/>
  <c r="BJ32" i="15"/>
  <c r="BJ16" i="15"/>
  <c r="BJ23" i="15"/>
  <c r="BJ34" i="15"/>
  <c r="BJ14" i="15"/>
  <c r="BJ29" i="15"/>
  <c r="BJ13" i="15"/>
  <c r="BJ28" i="15"/>
  <c r="BJ12" i="15"/>
  <c r="BJ35" i="15"/>
  <c r="BJ19" i="15"/>
  <c r="BJ18" i="15"/>
  <c r="BJ26" i="15"/>
  <c r="BJ9" i="15"/>
  <c r="BJ31" i="15"/>
  <c r="BJ15" i="15"/>
  <c r="BJ24" i="15"/>
  <c r="BJ25" i="15"/>
  <c r="AD8" i="15"/>
  <c r="AD10" i="15"/>
  <c r="AD9" i="15"/>
  <c r="AD11" i="15"/>
  <c r="AD12" i="15"/>
  <c r="AD13" i="15"/>
  <c r="AD14" i="15"/>
  <c r="AD15" i="15"/>
  <c r="AD16" i="15"/>
  <c r="E50" i="6"/>
  <c r="BK7" i="15"/>
  <c r="BO7" i="15" s="1"/>
  <c r="AF17" i="15"/>
  <c r="P10" i="15"/>
  <c r="P9" i="15"/>
  <c r="P8" i="15"/>
  <c r="P11" i="15"/>
  <c r="P12" i="15"/>
  <c r="P13" i="15"/>
  <c r="P14" i="15"/>
  <c r="P15" i="15"/>
  <c r="P16" i="15"/>
  <c r="BH13" i="15"/>
  <c r="E44" i="4"/>
  <c r="E49" i="4" s="1"/>
  <c r="E51" i="4" s="1"/>
  <c r="AC7" i="15"/>
  <c r="BG15" i="15"/>
  <c r="AP16" i="15"/>
  <c r="AA16" i="15"/>
  <c r="I16" i="15"/>
  <c r="X19" i="15"/>
  <c r="AE18" i="15"/>
  <c r="AC18" i="15"/>
  <c r="AF18" i="15"/>
  <c r="AD18" i="15"/>
  <c r="B18" i="15"/>
  <c r="P17" i="15"/>
  <c r="R17" i="15"/>
  <c r="S17" i="15"/>
  <c r="Q17" i="15"/>
  <c r="P37" i="2"/>
  <c r="O7" i="15" s="1"/>
  <c r="L67" i="2"/>
  <c r="L68" i="2" s="1"/>
  <c r="L69" i="2" s="1"/>
  <c r="E56" i="6"/>
  <c r="E58" i="6" s="1"/>
  <c r="E55" i="5"/>
  <c r="E57" i="5" s="1"/>
  <c r="F58" i="4"/>
  <c r="K44" i="4"/>
  <c r="J1" i="7" s="1"/>
  <c r="E64" i="5"/>
  <c r="N46" i="5"/>
  <c r="K1" i="7" s="1"/>
  <c r="N47" i="6"/>
  <c r="L1" i="7" s="1"/>
  <c r="E64" i="6"/>
  <c r="E71" i="2"/>
  <c r="Z18" i="15" l="1"/>
  <c r="AB18" i="15" s="1"/>
  <c r="AO18" i="15"/>
  <c r="AR19" i="15" s="1"/>
  <c r="H18" i="15"/>
  <c r="F18" i="15"/>
  <c r="L18" i="15" s="1"/>
  <c r="C18" i="15"/>
  <c r="G18" i="15"/>
  <c r="M18" i="15" s="1"/>
  <c r="D18" i="15"/>
  <c r="J18" i="15" s="1"/>
  <c r="BF18" i="15"/>
  <c r="BI18" i="15" s="1"/>
  <c r="AM18" i="15"/>
  <c r="E18" i="15"/>
  <c r="K18" i="15" s="1"/>
  <c r="BE18" i="15"/>
  <c r="Y18" i="15"/>
  <c r="AN18" i="15"/>
  <c r="BD18" i="15"/>
  <c r="N18" i="15"/>
  <c r="AQ12" i="15"/>
  <c r="AX11" i="15"/>
  <c r="BK19" i="15"/>
  <c r="BK35" i="15"/>
  <c r="BK16" i="15"/>
  <c r="BK32" i="15"/>
  <c r="BK18" i="15"/>
  <c r="BK17" i="15"/>
  <c r="BK33" i="15"/>
  <c r="BK23" i="15"/>
  <c r="BK14" i="15"/>
  <c r="BK20" i="15"/>
  <c r="BK36" i="15"/>
  <c r="BK26" i="15"/>
  <c r="BK21" i="15"/>
  <c r="BK22" i="15"/>
  <c r="BK34" i="15"/>
  <c r="BK11" i="15"/>
  <c r="BO11" i="15" s="1"/>
  <c r="BK27" i="15"/>
  <c r="BK30" i="15"/>
  <c r="BK24" i="15"/>
  <c r="BK8" i="15"/>
  <c r="BO8" i="15" s="1"/>
  <c r="BK9" i="15"/>
  <c r="BO9" i="15" s="1"/>
  <c r="BK25" i="15"/>
  <c r="BK12" i="15"/>
  <c r="BO12" i="15" s="1"/>
  <c r="BK29" i="15"/>
  <c r="BK28" i="15"/>
  <c r="BK15" i="15"/>
  <c r="BK10" i="15"/>
  <c r="BO10" i="15" s="1"/>
  <c r="BK31" i="15"/>
  <c r="BK13" i="15"/>
  <c r="BO13" i="15" s="1"/>
  <c r="BH14" i="15"/>
  <c r="F60" i="4"/>
  <c r="F62" i="4" s="1"/>
  <c r="N1" i="7" s="1"/>
  <c r="AC10" i="15"/>
  <c r="AG10" i="15" s="1"/>
  <c r="AC8" i="15"/>
  <c r="AG8" i="15" s="1"/>
  <c r="AC9" i="15"/>
  <c r="AG9" i="15" s="1"/>
  <c r="AG7" i="15"/>
  <c r="AC11" i="15"/>
  <c r="AG11" i="15" s="1"/>
  <c r="AC12" i="15"/>
  <c r="AG12" i="15" s="1"/>
  <c r="AC13" i="15"/>
  <c r="AG13" i="15" s="1"/>
  <c r="AC14" i="15"/>
  <c r="AG14" i="15" s="1"/>
  <c r="AC15" i="15"/>
  <c r="AG15" i="15" s="1"/>
  <c r="AC16" i="15"/>
  <c r="AG16" i="15" s="1"/>
  <c r="AC17" i="15"/>
  <c r="O9" i="15"/>
  <c r="T9" i="15" s="1"/>
  <c r="O10" i="15"/>
  <c r="T10" i="15" s="1"/>
  <c r="T7" i="15"/>
  <c r="O8" i="15"/>
  <c r="T8" i="15" s="1"/>
  <c r="O11" i="15"/>
  <c r="T11" i="15" s="1"/>
  <c r="O12" i="15"/>
  <c r="T12" i="15" s="1"/>
  <c r="O13" i="15"/>
  <c r="T13" i="15" s="1"/>
  <c r="O14" i="15"/>
  <c r="T14" i="15" s="1"/>
  <c r="O15" i="15"/>
  <c r="T15" i="15" s="1"/>
  <c r="O16" i="15"/>
  <c r="T16" i="15" s="1"/>
  <c r="O17" i="15"/>
  <c r="E69" i="2"/>
  <c r="E76" i="2" s="1"/>
  <c r="E78" i="2" s="1"/>
  <c r="BG16" i="15"/>
  <c r="AP17" i="15"/>
  <c r="AA17" i="15"/>
  <c r="I17" i="15"/>
  <c r="X20" i="15"/>
  <c r="AF19" i="15"/>
  <c r="AD19" i="15"/>
  <c r="AC19" i="15"/>
  <c r="AE19" i="15"/>
  <c r="B19" i="15"/>
  <c r="P18" i="15"/>
  <c r="O18" i="15"/>
  <c r="S18" i="15"/>
  <c r="Q18" i="15"/>
  <c r="R18" i="15"/>
  <c r="E66" i="6"/>
  <c r="E68" i="6" s="1"/>
  <c r="P1" i="7" s="1"/>
  <c r="E66" i="5"/>
  <c r="E68" i="5" s="1"/>
  <c r="O1" i="7" s="1"/>
  <c r="F1" i="7"/>
  <c r="G1" i="7"/>
  <c r="I1" i="7"/>
  <c r="F85" i="2"/>
  <c r="H1" i="7"/>
  <c r="AB19" i="15" l="1"/>
  <c r="K19" i="15"/>
  <c r="AR20" i="15"/>
  <c r="N19" i="15"/>
  <c r="BD19" i="15"/>
  <c r="Z19" i="15"/>
  <c r="F19" i="15"/>
  <c r="L19" i="15" s="1"/>
  <c r="E19" i="15"/>
  <c r="AO19" i="15"/>
  <c r="H19" i="15"/>
  <c r="BF19" i="15"/>
  <c r="BI19" i="15" s="1"/>
  <c r="C19" i="15"/>
  <c r="BE19" i="15"/>
  <c r="Y19" i="15"/>
  <c r="AM19" i="15"/>
  <c r="AN19" i="15"/>
  <c r="G19" i="15"/>
  <c r="M19" i="15" s="1"/>
  <c r="D19" i="15"/>
  <c r="J19" i="15" s="1"/>
  <c r="AQ13" i="15"/>
  <c r="AX12" i="15"/>
  <c r="BH15" i="15"/>
  <c r="BO14" i="15"/>
  <c r="BG17" i="15"/>
  <c r="AP18" i="15"/>
  <c r="AA18" i="15"/>
  <c r="AG17" i="15"/>
  <c r="I18" i="15"/>
  <c r="T17" i="15"/>
  <c r="X21" i="15"/>
  <c r="AF20" i="15"/>
  <c r="AD20" i="15"/>
  <c r="AE20" i="15"/>
  <c r="AC20" i="15"/>
  <c r="B20" i="15"/>
  <c r="P19" i="15"/>
  <c r="O19" i="15"/>
  <c r="Q19" i="15"/>
  <c r="R19" i="15"/>
  <c r="S19" i="15"/>
  <c r="F87" i="2"/>
  <c r="F89" i="2" s="1"/>
  <c r="M1" i="7" s="1"/>
  <c r="E1" i="7"/>
  <c r="L20" i="15" l="1"/>
  <c r="N20" i="15"/>
  <c r="AN20" i="15"/>
  <c r="G20" i="15"/>
  <c r="M20" i="15" s="1"/>
  <c r="BD20" i="15"/>
  <c r="D20" i="15"/>
  <c r="J20" i="15" s="1"/>
  <c r="Z20" i="15"/>
  <c r="AB20" i="15" s="1"/>
  <c r="AO20" i="15"/>
  <c r="AR21" i="15" s="1"/>
  <c r="H20" i="15"/>
  <c r="F20" i="15"/>
  <c r="AM20" i="15"/>
  <c r="BE20" i="15"/>
  <c r="Y20" i="15"/>
  <c r="BF20" i="15"/>
  <c r="BI20" i="15" s="1"/>
  <c r="C20" i="15"/>
  <c r="E20" i="15"/>
  <c r="K20" i="15" s="1"/>
  <c r="AQ14" i="15"/>
  <c r="AX13" i="15"/>
  <c r="BH16" i="15"/>
  <c r="BO15" i="15"/>
  <c r="BG18" i="15"/>
  <c r="AP19" i="15"/>
  <c r="AG18" i="15"/>
  <c r="AA19" i="15"/>
  <c r="I19" i="15"/>
  <c r="T18" i="15"/>
  <c r="X22" i="15"/>
  <c r="AD21" i="15"/>
  <c r="AF21" i="15"/>
  <c r="AE21" i="15"/>
  <c r="AC21" i="15"/>
  <c r="B21" i="15"/>
  <c r="S20" i="15"/>
  <c r="R20" i="15"/>
  <c r="P20" i="15"/>
  <c r="O20" i="15"/>
  <c r="Q20" i="15"/>
  <c r="K21" i="15" l="1"/>
  <c r="E21" i="15"/>
  <c r="AN21" i="15"/>
  <c r="G21" i="15"/>
  <c r="M21" i="15" s="1"/>
  <c r="D21" i="15"/>
  <c r="J21" i="15" s="1"/>
  <c r="BD21" i="15"/>
  <c r="Z21" i="15"/>
  <c r="AB21" i="15" s="1"/>
  <c r="C21" i="15"/>
  <c r="AO21" i="15"/>
  <c r="AR22" i="15" s="1"/>
  <c r="H21" i="15"/>
  <c r="N21" i="15" s="1"/>
  <c r="F21" i="15"/>
  <c r="L21" i="15" s="1"/>
  <c r="BF21" i="15"/>
  <c r="BI21" i="15" s="1"/>
  <c r="AM21" i="15"/>
  <c r="BE21" i="15"/>
  <c r="Y21" i="15"/>
  <c r="AQ15" i="15"/>
  <c r="AX14" i="15"/>
  <c r="BH17" i="15"/>
  <c r="BO16" i="15"/>
  <c r="BG19" i="15"/>
  <c r="AP20" i="15"/>
  <c r="AG19" i="15"/>
  <c r="AA20" i="15"/>
  <c r="I20" i="15"/>
  <c r="T19" i="15"/>
  <c r="X23" i="15"/>
  <c r="AC22" i="15"/>
  <c r="AE22" i="15"/>
  <c r="AF22" i="15"/>
  <c r="AD22" i="15"/>
  <c r="B22" i="15"/>
  <c r="S21" i="15"/>
  <c r="R21" i="15"/>
  <c r="P21" i="15"/>
  <c r="O21" i="15"/>
  <c r="Q21" i="15"/>
  <c r="AB22" i="15" l="1"/>
  <c r="AR23" i="15"/>
  <c r="K22" i="15"/>
  <c r="BE22" i="15"/>
  <c r="Y22" i="15"/>
  <c r="E22" i="15"/>
  <c r="C22" i="15"/>
  <c r="AN22" i="15"/>
  <c r="G22" i="15"/>
  <c r="M22" i="15" s="1"/>
  <c r="BD22" i="15"/>
  <c r="D22" i="15"/>
  <c r="J22" i="15" s="1"/>
  <c r="H22" i="15"/>
  <c r="N22" i="15" s="1"/>
  <c r="Z22" i="15"/>
  <c r="AO22" i="15"/>
  <c r="F22" i="15"/>
  <c r="L22" i="15" s="1"/>
  <c r="BF22" i="15"/>
  <c r="BI22" i="15" s="1"/>
  <c r="AM22" i="15"/>
  <c r="AQ16" i="15"/>
  <c r="AX15" i="15"/>
  <c r="BH18" i="15"/>
  <c r="BO17" i="15"/>
  <c r="BG20" i="15"/>
  <c r="AP21" i="15"/>
  <c r="AG20" i="15"/>
  <c r="AA21" i="15"/>
  <c r="T20" i="15"/>
  <c r="I21" i="15"/>
  <c r="X24" i="15"/>
  <c r="AF23" i="15"/>
  <c r="AD23" i="15"/>
  <c r="AC23" i="15"/>
  <c r="AE23" i="15"/>
  <c r="B23" i="15"/>
  <c r="P22" i="15"/>
  <c r="O22" i="15"/>
  <c r="Q22" i="15"/>
  <c r="S22" i="15"/>
  <c r="R22" i="15"/>
  <c r="AM23" i="15" l="1"/>
  <c r="BE23" i="15"/>
  <c r="Y23" i="15"/>
  <c r="E23" i="15"/>
  <c r="F23" i="15"/>
  <c r="L23" i="15" s="1"/>
  <c r="AN23" i="15"/>
  <c r="G23" i="15"/>
  <c r="M23" i="15" s="1"/>
  <c r="AO23" i="15"/>
  <c r="AR24" i="15" s="1"/>
  <c r="H23" i="15"/>
  <c r="N23" i="15" s="1"/>
  <c r="BD23" i="15"/>
  <c r="D23" i="15"/>
  <c r="J23" i="15" s="1"/>
  <c r="Z23" i="15"/>
  <c r="AB23" i="15" s="1"/>
  <c r="BF23" i="15"/>
  <c r="BI23" i="15" s="1"/>
  <c r="C23" i="15"/>
  <c r="K23" i="15"/>
  <c r="AQ17" i="15"/>
  <c r="AX16" i="15"/>
  <c r="BH19" i="15"/>
  <c r="BO18" i="15"/>
  <c r="BG21" i="15"/>
  <c r="AP22" i="15"/>
  <c r="AA22" i="15"/>
  <c r="AG21" i="15"/>
  <c r="I22" i="15"/>
  <c r="T21" i="15"/>
  <c r="X25" i="15"/>
  <c r="AD24" i="15"/>
  <c r="AF24" i="15"/>
  <c r="AE24" i="15"/>
  <c r="AC24" i="15"/>
  <c r="B24" i="15"/>
  <c r="P23" i="15"/>
  <c r="O23" i="15"/>
  <c r="Q23" i="15"/>
  <c r="S23" i="15"/>
  <c r="R23" i="15"/>
  <c r="M24" i="15" l="1"/>
  <c r="K24" i="15"/>
  <c r="BF24" i="15"/>
  <c r="BI24" i="15" s="1"/>
  <c r="AM24" i="15"/>
  <c r="BE24" i="15"/>
  <c r="Y24" i="15"/>
  <c r="E24" i="15"/>
  <c r="BD24" i="15"/>
  <c r="D24" i="15"/>
  <c r="J24" i="15" s="1"/>
  <c r="AN24" i="15"/>
  <c r="G24" i="15"/>
  <c r="Z24" i="15"/>
  <c r="AB24" i="15" s="1"/>
  <c r="AO24" i="15"/>
  <c r="AR25" i="15" s="1"/>
  <c r="H24" i="15"/>
  <c r="N24" i="15" s="1"/>
  <c r="F24" i="15"/>
  <c r="L24" i="15" s="1"/>
  <c r="C24" i="15"/>
  <c r="AQ18" i="15"/>
  <c r="AX17" i="15"/>
  <c r="BH20" i="15"/>
  <c r="BO19" i="15"/>
  <c r="BG22" i="15"/>
  <c r="AP23" i="15"/>
  <c r="AG22" i="15"/>
  <c r="AA23" i="15"/>
  <c r="T22" i="15"/>
  <c r="I23" i="15"/>
  <c r="X26" i="15"/>
  <c r="AD25" i="15"/>
  <c r="AF25" i="15"/>
  <c r="AE25" i="15"/>
  <c r="AC25" i="15"/>
  <c r="B25" i="15"/>
  <c r="P24" i="15"/>
  <c r="O24" i="15"/>
  <c r="S24" i="15"/>
  <c r="R24" i="15"/>
  <c r="Q24" i="15"/>
  <c r="L25" i="15" l="1"/>
  <c r="N25" i="15"/>
  <c r="M25" i="15"/>
  <c r="AO25" i="15"/>
  <c r="AR26" i="15" s="1"/>
  <c r="H25" i="15"/>
  <c r="F25" i="15"/>
  <c r="BF25" i="15"/>
  <c r="BI25" i="15" s="1"/>
  <c r="C25" i="15"/>
  <c r="AM25" i="15"/>
  <c r="BE25" i="15"/>
  <c r="Y25" i="15"/>
  <c r="E25" i="15"/>
  <c r="K25" i="15" s="1"/>
  <c r="AN25" i="15"/>
  <c r="G25" i="15"/>
  <c r="BD25" i="15"/>
  <c r="Z25" i="15"/>
  <c r="AB25" i="15" s="1"/>
  <c r="D25" i="15"/>
  <c r="J25" i="15" s="1"/>
  <c r="AQ19" i="15"/>
  <c r="AX18" i="15"/>
  <c r="BH21" i="15"/>
  <c r="BO20" i="15"/>
  <c r="BG23" i="15"/>
  <c r="AP24" i="15"/>
  <c r="AG23" i="15"/>
  <c r="AA24" i="15"/>
  <c r="T23" i="15"/>
  <c r="I24" i="15"/>
  <c r="X27" i="15"/>
  <c r="AE26" i="15"/>
  <c r="AC26" i="15"/>
  <c r="AD26" i="15"/>
  <c r="AF26" i="15"/>
  <c r="P25" i="15"/>
  <c r="O25" i="15"/>
  <c r="B26" i="15"/>
  <c r="S25" i="15"/>
  <c r="R25" i="15"/>
  <c r="Q25" i="15"/>
  <c r="AB26" i="15" l="1"/>
  <c r="K26" i="15"/>
  <c r="Z26" i="15"/>
  <c r="AO26" i="15"/>
  <c r="AR27" i="15" s="1"/>
  <c r="H26" i="15"/>
  <c r="N26" i="15" s="1"/>
  <c r="F26" i="15"/>
  <c r="L26" i="15" s="1"/>
  <c r="C26" i="15"/>
  <c r="G26" i="15"/>
  <c r="BF26" i="15"/>
  <c r="BI26" i="15" s="1"/>
  <c r="AM26" i="15"/>
  <c r="E26" i="15"/>
  <c r="D26" i="15"/>
  <c r="J26" i="15" s="1"/>
  <c r="BE26" i="15"/>
  <c r="Y26" i="15"/>
  <c r="AN26" i="15"/>
  <c r="BD26" i="15"/>
  <c r="M26" i="15"/>
  <c r="AQ20" i="15"/>
  <c r="AX19" i="15"/>
  <c r="BH22" i="15"/>
  <c r="BO21" i="15"/>
  <c r="BG24" i="15"/>
  <c r="AP25" i="15"/>
  <c r="AG24" i="15"/>
  <c r="AA25" i="15"/>
  <c r="I25" i="15"/>
  <c r="T24" i="15"/>
  <c r="X28" i="15"/>
  <c r="AF27" i="15"/>
  <c r="AD27" i="15"/>
  <c r="AC27" i="15"/>
  <c r="AE27" i="15"/>
  <c r="P26" i="15"/>
  <c r="O26" i="15"/>
  <c r="B27" i="15"/>
  <c r="Q26" i="15"/>
  <c r="S26" i="15"/>
  <c r="R26" i="15"/>
  <c r="BD27" i="15" l="1"/>
  <c r="AO27" i="15"/>
  <c r="AR28" i="15" s="1"/>
  <c r="H27" i="15"/>
  <c r="N27" i="15" s="1"/>
  <c r="BF27" i="15"/>
  <c r="BI27" i="15" s="1"/>
  <c r="C27" i="15"/>
  <c r="BE27" i="15"/>
  <c r="AM27" i="15"/>
  <c r="Y27" i="15"/>
  <c r="AN27" i="15"/>
  <c r="D27" i="15"/>
  <c r="J27" i="15" s="1"/>
  <c r="F27" i="15"/>
  <c r="L27" i="15" s="1"/>
  <c r="Z27" i="15"/>
  <c r="AB27" i="15" s="1"/>
  <c r="G27" i="15"/>
  <c r="E27" i="15"/>
  <c r="K27" i="15" s="1"/>
  <c r="M27" i="15"/>
  <c r="AQ21" i="15"/>
  <c r="AX20" i="15"/>
  <c r="BH23" i="15"/>
  <c r="BO22" i="15"/>
  <c r="BG25" i="15"/>
  <c r="AP26" i="15"/>
  <c r="AA26" i="15"/>
  <c r="AG25" i="15"/>
  <c r="I26" i="15"/>
  <c r="T25" i="15"/>
  <c r="X29" i="15"/>
  <c r="AF28" i="15"/>
  <c r="AD28" i="15"/>
  <c r="AE28" i="15"/>
  <c r="AC28" i="15"/>
  <c r="P27" i="15"/>
  <c r="O27" i="15"/>
  <c r="B28" i="15"/>
  <c r="Q27" i="15"/>
  <c r="R27" i="15"/>
  <c r="S27" i="15"/>
  <c r="BI28" i="15" l="1"/>
  <c r="AR29" i="15"/>
  <c r="M28" i="15"/>
  <c r="AN28" i="15"/>
  <c r="BD28" i="15"/>
  <c r="Z28" i="15"/>
  <c r="AB28" i="15" s="1"/>
  <c r="F28" i="15"/>
  <c r="L28" i="15" s="1"/>
  <c r="AO28" i="15"/>
  <c r="H28" i="15"/>
  <c r="N28" i="15" s="1"/>
  <c r="BE28" i="15"/>
  <c r="Y28" i="15"/>
  <c r="E28" i="15"/>
  <c r="K28" i="15" s="1"/>
  <c r="BF28" i="15"/>
  <c r="C28" i="15"/>
  <c r="AM28" i="15"/>
  <c r="G28" i="15"/>
  <c r="D28" i="15"/>
  <c r="J28" i="15" s="1"/>
  <c r="AQ22" i="15"/>
  <c r="AX21" i="15"/>
  <c r="BH24" i="15"/>
  <c r="BO23" i="15"/>
  <c r="BG26" i="15"/>
  <c r="AP27" i="15"/>
  <c r="AG26" i="15"/>
  <c r="AA27" i="15"/>
  <c r="T26" i="15"/>
  <c r="I27" i="15"/>
  <c r="X30" i="15"/>
  <c r="AD29" i="15"/>
  <c r="AF29" i="15"/>
  <c r="AC29" i="15"/>
  <c r="AE29" i="15"/>
  <c r="R28" i="15"/>
  <c r="P28" i="15"/>
  <c r="O28" i="15"/>
  <c r="B29" i="15"/>
  <c r="S28" i="15"/>
  <c r="Q28" i="15"/>
  <c r="M29" i="15" l="1"/>
  <c r="BI29" i="15"/>
  <c r="G29" i="15"/>
  <c r="AN29" i="15"/>
  <c r="D29" i="15"/>
  <c r="J29" i="15" s="1"/>
  <c r="BD29" i="15"/>
  <c r="Z29" i="15"/>
  <c r="AB29" i="15" s="1"/>
  <c r="F29" i="15"/>
  <c r="L29" i="15" s="1"/>
  <c r="C29" i="15"/>
  <c r="AO29" i="15"/>
  <c r="AR30" i="15" s="1"/>
  <c r="H29" i="15"/>
  <c r="N29" i="15" s="1"/>
  <c r="BF29" i="15"/>
  <c r="AM29" i="15"/>
  <c r="BE29" i="15"/>
  <c r="Y29" i="15"/>
  <c r="E29" i="15"/>
  <c r="K29" i="15" s="1"/>
  <c r="AQ23" i="15"/>
  <c r="AX22" i="15"/>
  <c r="BH25" i="15"/>
  <c r="BO24" i="15"/>
  <c r="BG27" i="15"/>
  <c r="AP28" i="15"/>
  <c r="AG27" i="15"/>
  <c r="AA28" i="15"/>
  <c r="T27" i="15"/>
  <c r="I28" i="15"/>
  <c r="X31" i="15"/>
  <c r="AF30" i="15"/>
  <c r="AD30" i="15"/>
  <c r="AE30" i="15"/>
  <c r="AC30" i="15"/>
  <c r="B30" i="15"/>
  <c r="S29" i="15"/>
  <c r="R29" i="15"/>
  <c r="P29" i="15"/>
  <c r="O29" i="15"/>
  <c r="Q29" i="15"/>
  <c r="N30" i="15" l="1"/>
  <c r="M30" i="15"/>
  <c r="BE30" i="15"/>
  <c r="Y30" i="15"/>
  <c r="E30" i="15"/>
  <c r="K30" i="15" s="1"/>
  <c r="G30" i="15"/>
  <c r="D30" i="15"/>
  <c r="J30" i="15" s="1"/>
  <c r="AN30" i="15"/>
  <c r="BD30" i="15"/>
  <c r="Z30" i="15"/>
  <c r="AB30" i="15" s="1"/>
  <c r="AO30" i="15"/>
  <c r="AR31" i="15" s="1"/>
  <c r="C30" i="15"/>
  <c r="F30" i="15"/>
  <c r="L30" i="15" s="1"/>
  <c r="H30" i="15"/>
  <c r="BF30" i="15"/>
  <c r="BI30" i="15" s="1"/>
  <c r="AM30" i="15"/>
  <c r="AQ24" i="15"/>
  <c r="AX23" i="15"/>
  <c r="BH26" i="15"/>
  <c r="BO25" i="15"/>
  <c r="BG28" i="15"/>
  <c r="AP29" i="15"/>
  <c r="AA29" i="15"/>
  <c r="AG28" i="15"/>
  <c r="T28" i="15"/>
  <c r="I29" i="15"/>
  <c r="X32" i="15"/>
  <c r="AF31" i="15"/>
  <c r="AD31" i="15"/>
  <c r="AC31" i="15"/>
  <c r="AE31" i="15"/>
  <c r="B31" i="15"/>
  <c r="P30" i="15"/>
  <c r="O30" i="15"/>
  <c r="R30" i="15"/>
  <c r="S30" i="15"/>
  <c r="Q30" i="15"/>
  <c r="M31" i="15" l="1"/>
  <c r="AM31" i="15"/>
  <c r="BE31" i="15"/>
  <c r="Y31" i="15"/>
  <c r="E31" i="15"/>
  <c r="K31" i="15" s="1"/>
  <c r="G31" i="15"/>
  <c r="H31" i="15"/>
  <c r="N31" i="15" s="1"/>
  <c r="AN31" i="15"/>
  <c r="F31" i="15"/>
  <c r="L31" i="15" s="1"/>
  <c r="BD31" i="15"/>
  <c r="Z31" i="15"/>
  <c r="AB31" i="15" s="1"/>
  <c r="AO31" i="15"/>
  <c r="AR32" i="15" s="1"/>
  <c r="BF31" i="15"/>
  <c r="BI31" i="15" s="1"/>
  <c r="C31" i="15"/>
  <c r="D31" i="15"/>
  <c r="J31" i="15" s="1"/>
  <c r="AQ25" i="15"/>
  <c r="AX24" i="15"/>
  <c r="BH27" i="15"/>
  <c r="BO26" i="15"/>
  <c r="BG29" i="15"/>
  <c r="AP30" i="15"/>
  <c r="AA30" i="15"/>
  <c r="AG29" i="15"/>
  <c r="T29" i="15"/>
  <c r="I30" i="15"/>
  <c r="X33" i="15"/>
  <c r="AD32" i="15"/>
  <c r="AF32" i="15"/>
  <c r="AE32" i="15"/>
  <c r="AC32" i="15"/>
  <c r="B32" i="15"/>
  <c r="P31" i="15"/>
  <c r="O31" i="15"/>
  <c r="Q31" i="15"/>
  <c r="S31" i="15"/>
  <c r="R31" i="15"/>
  <c r="L32" i="15" l="1"/>
  <c r="BF32" i="15"/>
  <c r="BI32" i="15" s="1"/>
  <c r="AM32" i="15"/>
  <c r="E32" i="15"/>
  <c r="K32" i="15" s="1"/>
  <c r="BE32" i="15"/>
  <c r="Y32" i="15"/>
  <c r="G32" i="15"/>
  <c r="M32" i="15" s="1"/>
  <c r="D32" i="15"/>
  <c r="J32" i="15" s="1"/>
  <c r="BD32" i="15"/>
  <c r="Z32" i="15"/>
  <c r="AB32" i="15" s="1"/>
  <c r="F32" i="15"/>
  <c r="AN32" i="15"/>
  <c r="AO32" i="15"/>
  <c r="AR33" i="15" s="1"/>
  <c r="H32" i="15"/>
  <c r="N32" i="15" s="1"/>
  <c r="C32" i="15"/>
  <c r="AQ26" i="15"/>
  <c r="AX25" i="15"/>
  <c r="BH28" i="15"/>
  <c r="BO27" i="15"/>
  <c r="BG30" i="15"/>
  <c r="AP31" i="15"/>
  <c r="AG30" i="15"/>
  <c r="AA31" i="15"/>
  <c r="I31" i="15"/>
  <c r="T30" i="15"/>
  <c r="X34" i="15"/>
  <c r="AF33" i="15"/>
  <c r="AD33" i="15"/>
  <c r="AE33" i="15"/>
  <c r="AC33" i="15"/>
  <c r="B33" i="15"/>
  <c r="S32" i="15"/>
  <c r="P32" i="15"/>
  <c r="O32" i="15"/>
  <c r="R32" i="15"/>
  <c r="Q32" i="15"/>
  <c r="BI33" i="15" l="1"/>
  <c r="AO33" i="15"/>
  <c r="AR34" i="15" s="1"/>
  <c r="H33" i="15"/>
  <c r="N33" i="15" s="1"/>
  <c r="BF33" i="15"/>
  <c r="C33" i="15"/>
  <c r="AM33" i="15"/>
  <c r="BE33" i="15"/>
  <c r="Y33" i="15"/>
  <c r="E33" i="15"/>
  <c r="K33" i="15" s="1"/>
  <c r="BD33" i="15"/>
  <c r="G33" i="15"/>
  <c r="M33" i="15" s="1"/>
  <c r="D33" i="15"/>
  <c r="J33" i="15" s="1"/>
  <c r="AN33" i="15"/>
  <c r="Z33" i="15"/>
  <c r="AB33" i="15" s="1"/>
  <c r="F33" i="15"/>
  <c r="L33" i="15" s="1"/>
  <c r="AQ27" i="15"/>
  <c r="AX26" i="15"/>
  <c r="BH29" i="15"/>
  <c r="BO28" i="15"/>
  <c r="BG31" i="15"/>
  <c r="AP32" i="15"/>
  <c r="AA32" i="15"/>
  <c r="AG31" i="15"/>
  <c r="I32" i="15"/>
  <c r="T31" i="15"/>
  <c r="X35" i="15"/>
  <c r="AC34" i="15"/>
  <c r="AE34" i="15"/>
  <c r="AF34" i="15"/>
  <c r="AD34" i="15"/>
  <c r="B34" i="15"/>
  <c r="P33" i="15"/>
  <c r="O33" i="15"/>
  <c r="S33" i="15"/>
  <c r="R33" i="15"/>
  <c r="Q33" i="15"/>
  <c r="M34" i="15" l="1"/>
  <c r="N34" i="15"/>
  <c r="BI34" i="15"/>
  <c r="F34" i="15"/>
  <c r="L34" i="15" s="1"/>
  <c r="AO34" i="15"/>
  <c r="AR35" i="15" s="1"/>
  <c r="H34" i="15"/>
  <c r="C34" i="15"/>
  <c r="BF34" i="15"/>
  <c r="AM34" i="15"/>
  <c r="D34" i="15"/>
  <c r="J34" i="15" s="1"/>
  <c r="BE34" i="15"/>
  <c r="Y34" i="15"/>
  <c r="E34" i="15"/>
  <c r="K34" i="15" s="1"/>
  <c r="G34" i="15"/>
  <c r="AN34" i="15"/>
  <c r="BD34" i="15"/>
  <c r="Z34" i="15"/>
  <c r="AB34" i="15" s="1"/>
  <c r="AQ28" i="15"/>
  <c r="AX27" i="15"/>
  <c r="BH30" i="15"/>
  <c r="BO29" i="15"/>
  <c r="BG32" i="15"/>
  <c r="AP33" i="15"/>
  <c r="AA33" i="15"/>
  <c r="AG32" i="15"/>
  <c r="I33" i="15"/>
  <c r="T32" i="15"/>
  <c r="X36" i="15"/>
  <c r="AF35" i="15"/>
  <c r="AD35" i="15"/>
  <c r="AC35" i="15"/>
  <c r="AE35" i="15"/>
  <c r="B35" i="15"/>
  <c r="P34" i="15"/>
  <c r="O34" i="15"/>
  <c r="Q34" i="15"/>
  <c r="S34" i="15"/>
  <c r="R34" i="15"/>
  <c r="BD35" i="15" l="1"/>
  <c r="Z35" i="15"/>
  <c r="AB35" i="15" s="1"/>
  <c r="F35" i="15"/>
  <c r="L35" i="15" s="1"/>
  <c r="G35" i="15"/>
  <c r="M35" i="15" s="1"/>
  <c r="D35" i="15"/>
  <c r="J35" i="15" s="1"/>
  <c r="AO35" i="15"/>
  <c r="AR36" i="15" s="1"/>
  <c r="H35" i="15"/>
  <c r="N35" i="15" s="1"/>
  <c r="BF35" i="15"/>
  <c r="BI35" i="15" s="1"/>
  <c r="C35" i="15"/>
  <c r="Y35" i="15"/>
  <c r="E35" i="15"/>
  <c r="K35" i="15" s="1"/>
  <c r="AM35" i="15"/>
  <c r="BE35" i="15"/>
  <c r="AN35" i="15"/>
  <c r="AQ29" i="15"/>
  <c r="AX28" i="15"/>
  <c r="BH31" i="15"/>
  <c r="BO30" i="15"/>
  <c r="BG33" i="15"/>
  <c r="AP34" i="15"/>
  <c r="AG33" i="15"/>
  <c r="AA34" i="15"/>
  <c r="T33" i="15"/>
  <c r="I34" i="15"/>
  <c r="AF36" i="15"/>
  <c r="AD36" i="15"/>
  <c r="AC36" i="15"/>
  <c r="AE36" i="15"/>
  <c r="P35" i="15"/>
  <c r="O35" i="15"/>
  <c r="Q35" i="15"/>
  <c r="B36" i="15"/>
  <c r="S35" i="15"/>
  <c r="R35" i="15"/>
  <c r="AB36" i="15" l="1"/>
  <c r="BI36" i="15"/>
  <c r="AN36" i="15"/>
  <c r="BD36" i="15"/>
  <c r="Z36" i="15"/>
  <c r="F36" i="15"/>
  <c r="L36" i="15" s="1"/>
  <c r="E36" i="15"/>
  <c r="K36" i="15" s="1"/>
  <c r="AO36" i="15"/>
  <c r="H36" i="15"/>
  <c r="N36" i="15" s="1"/>
  <c r="AM36" i="15"/>
  <c r="BE36" i="15"/>
  <c r="Y36" i="15"/>
  <c r="BF36" i="15"/>
  <c r="C36" i="15"/>
  <c r="G36" i="15"/>
  <c r="M36" i="15" s="1"/>
  <c r="D36" i="15"/>
  <c r="J36" i="15" s="1"/>
  <c r="AQ30" i="15"/>
  <c r="AX29" i="15"/>
  <c r="BH32" i="15"/>
  <c r="BO31" i="15"/>
  <c r="BG34" i="15"/>
  <c r="AP35" i="15"/>
  <c r="AA35" i="15"/>
  <c r="AG34" i="15"/>
  <c r="T34" i="15"/>
  <c r="I35" i="15"/>
  <c r="R36" i="15"/>
  <c r="P36" i="15"/>
  <c r="O36" i="15"/>
  <c r="S36" i="15"/>
  <c r="Q36" i="15"/>
  <c r="AQ31" i="15" l="1"/>
  <c r="AX30" i="15"/>
  <c r="BH33" i="15"/>
  <c r="BO32" i="15"/>
  <c r="BG35" i="15"/>
  <c r="AP36" i="15"/>
  <c r="AA36" i="15"/>
  <c r="AG36" i="15" s="1"/>
  <c r="AG35" i="15"/>
  <c r="T35" i="15"/>
  <c r="I36" i="15"/>
  <c r="T36" i="15" s="1"/>
  <c r="AQ32" i="15" l="1"/>
  <c r="AX31" i="15"/>
  <c r="BH34" i="15"/>
  <c r="BO33" i="15"/>
  <c r="BG36" i="15"/>
  <c r="AQ33" i="15" l="1"/>
  <c r="AX32" i="15"/>
  <c r="BH35" i="15"/>
  <c r="BO34" i="15"/>
  <c r="AQ34" i="15" l="1"/>
  <c r="AX33" i="15"/>
  <c r="BH36" i="15"/>
  <c r="BO36" i="15" s="1"/>
  <c r="BO35" i="15"/>
  <c r="AQ35" i="15" l="1"/>
  <c r="AX34" i="15"/>
  <c r="AQ36" i="15" l="1"/>
  <c r="AX36" i="15" s="1"/>
  <c r="AX35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Infrabel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Infrabel:</t>
        </r>
        <r>
          <rPr>
            <sz val="9"/>
            <color indexed="81"/>
            <rFont val="Tahoma"/>
            <charset val="1"/>
          </rPr>
          <t xml:space="preserve">
2°C policy: 180 euro/tCO2 in 2040 and 260 euro/tCO2 in 2050</t>
        </r>
      </text>
    </comment>
    <comment ref="B8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Infrabel:</t>
        </r>
        <r>
          <rPr>
            <sz val="9"/>
            <color indexed="81"/>
            <rFont val="Tahoma"/>
            <charset val="1"/>
          </rPr>
          <t xml:space="preserve">
Based on the water bills for water delivery to Noordveenakkerstraat 51, region FGSP, 9000 Gent. In December 2017 : 1083 m³ water consumed at a cost of 2925,52 eurod (incl. 6% VAT). This corresponds to a cost of 2,71 €/m³.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Infrabel</author>
  </authors>
  <commentList>
    <comment ref="D9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Infrabel:</t>
        </r>
        <r>
          <rPr>
            <sz val="9"/>
            <color indexed="81"/>
            <rFont val="Tahoma"/>
            <charset val="1"/>
          </rPr>
          <t xml:space="preserve">
For 2018: CO2 LCA. (Hence: No CO2-equivalents, not only direct CO2)</t>
        </r>
      </text>
    </comment>
    <comment ref="L1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Infrabel:
Desiro ML 3 units in a train:</t>
        </r>
        <r>
          <rPr>
            <sz val="9"/>
            <color indexed="81"/>
            <rFont val="Tahoma"/>
            <family val="2"/>
          </rPr>
          <t xml:space="preserve">
mass = 189.6 ton;  
empy: 140,0t (08.0); 146,8t (08.5)
loaded: 189,6t
Carriages:
ABX : 50,8t (08.0); 51t (08.5)
B : 38.7t (08.0); 44,6t (08.5)
ABDX : 50,5t (08.0); 51,2t (08.5)</t>
        </r>
      </text>
    </comment>
    <comment ref="L19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remark: subtract 15% for maintenance</t>
        </r>
      </text>
    </comment>
    <comment ref="D2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Slides Infrabel "energiebeleid" - alternatieve aandrijvingen
</t>
        </r>
      </text>
    </comment>
    <comment ref="D27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Buffertime: for turning and waiting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Infrabel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Report Infrabel Waterstoftreinen</t>
        </r>
      </text>
    </comment>
    <comment ref="F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Coradia iLint: 0.28 kgH2/km for a 2-unit train ==&gt; 0.28 * 3/2 kg/km for a 3-unit train</t>
        </r>
      </text>
    </comment>
    <comment ref="W22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Two step compression: optimal intermediate pressure = sqrt(p1*p3)</t>
        </r>
      </text>
    </comment>
    <comment ref="P24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Roland Berger [13]: 0,72 euro/km
</t>
        </r>
      </text>
    </comment>
    <comment ref="H2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[13]: Coradia iLint: 5.5 Meuro --&gt; for a 3-unit train: take 7.5 Meuro</t>
        </r>
      </text>
    </comment>
    <comment ref="P33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1 kg of H2 is produced out of 9 kg H2O: H20-&gt; H2 + 1/2*O2: 18 gram/mol --&gt; 2 gram/mol + 1/2*(32gram/mol)</t>
        </r>
      </text>
    </comment>
    <comment ref="F34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Coradia iLint FC train:
tank: 30y [10]
battery: akasol: 3P AKASYSTEM 18 AKM battery systems: 2 x 221 kW avg, 2 x 450 kW for 40 sec max. Furthermore: 111 kWh, 800 V (https://www.akasol.com/en/reference-coradia-ilint): 7000 cycles (Nano: [11])
FC: Hydrogenics: HyPM-HD power modules: 2x200 kW: 10000+ h life time. (HD-180 --&gt; 180 kW continuous) [12]</t>
        </r>
      </text>
    </comment>
    <comment ref="L69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Assumption: Hydrogen is produced by electrolysis only with electricity from renewables: an equal share of wind and solar.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Infrabel</author>
  </authors>
  <commentList>
    <comment ref="L1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Roland Berger: [13]: 0,79 euro/km</t>
        </r>
      </text>
    </comment>
    <comment ref="L18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https://www.fch.europa.eu/sites/default/files/171121_FCH2JU_Application-Package_WG1_Trains %28ID 2910561%29 %28ID 2911647%29.pdf</t>
        </r>
      </text>
    </comment>
    <comment ref="E20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Roland Berger [16] Report 1 p 35 - includes the cost of the storage tank and filling station.
However - is not used in calculation: on row 35 an other estimate is used.</t>
        </r>
      </text>
    </comment>
    <comment ref="E3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see [16], Report 1, p.35: cost of diesel infrastructure is 1/6 of cost for financing the trains.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Infrabel</author>
  </authors>
  <commentList>
    <comment ref="E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Infrabel simulations with own developed traction system software tool "LFN": for 3-unit desiro L-trains (L-trains are stop trains in Belgium)
L Desiro ML trains: total number of trains for calculation: 519 trains
L Desiro ML trains: average kWh per km per tonne during consumption only:
ans =    1.809845258617736e-02 kWh/(t-km)
L Desiro ML trains: standard deviation of kWh per km per tonne during consumption only:
ans =    1.255261435794050e-02 kWh/(t-km)</t>
        </r>
      </text>
    </comment>
    <comment ref="E1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Take same value as for DMU.</t>
        </r>
      </text>
    </comment>
    <comment ref="N15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Roland Berger: 0,4 euro/km</t>
        </r>
      </text>
    </comment>
    <comment ref="E28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Goal of Infrabel is to install a traction substation every 10 km on its 3 kV-grid. With such a density of feeding substations, the traction substations can have a smaller power and be cheaper per substation.</t>
        </r>
      </text>
    </comment>
    <comment ref="N46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Assumption: the current Belgian fuel mix for generating electricity is used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Infrabel</author>
  </authors>
  <commentList>
    <comment ref="E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Take same as EMU.</t>
        </r>
      </text>
    </comment>
    <comment ref="E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Lithium titanate battery: LTO: [18]</t>
        </r>
      </text>
    </comment>
    <comment ref="E7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LTO: www.eetimes.com/author.asp?section_id=36&amp;doc_id=1325358</t>
        </r>
      </text>
    </comment>
    <comment ref="N15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Assumption: halveway between the maintenance cost of a FC train and of an EMU</t>
        </r>
      </text>
    </comment>
    <comment ref="E16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The Traction Sst are larger, in contrast with the EMU case. Reason: more power is needed for charging the batteries of a BEMU in a short time. Example: Talent 3 BEMU version: 440 kWh, 10 minutes: 2,64 MW per train!</t>
        </r>
      </text>
    </comment>
    <comment ref="E29" authorId="0" shapeId="0" xr:uid="{00000000-0006-0000-0500-000006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A Traction Sst for each catenary "island" plus for station A and station B. In station A and B, recharging can also take place.</t>
        </r>
      </text>
    </comment>
    <comment ref="E31" authorId="0" shapeId="0" xr:uid="{00000000-0006-0000-0500-000007000000}">
      <text>
        <r>
          <rPr>
            <b/>
            <sz val="9"/>
            <color indexed="81"/>
            <rFont val="Tahoma"/>
            <family val="2"/>
          </rPr>
          <t>Infrabel:</t>
        </r>
        <r>
          <rPr>
            <sz val="9"/>
            <color indexed="81"/>
            <rFont val="Tahoma"/>
            <family val="2"/>
          </rPr>
          <t xml:space="preserve">
10 km for each catenary "island" plus the length of the catenary system in station A and B. There, there are, due to the high power for charging, rail catenaries: 300 m of them maybe correspond to 1 km of normal catenary?</t>
        </r>
      </text>
    </comment>
  </commentList>
</comments>
</file>

<file path=xl/sharedStrings.xml><?xml version="1.0" encoding="utf-8"?>
<sst xmlns="http://schemas.openxmlformats.org/spreadsheetml/2006/main" count="779" uniqueCount="407">
  <si>
    <t>km</t>
  </si>
  <si>
    <t>kWh/(t.km)</t>
  </si>
  <si>
    <t>MW</t>
  </si>
  <si>
    <t>MWh</t>
  </si>
  <si>
    <t>Meuro</t>
  </si>
  <si>
    <t>euro/MWh</t>
  </si>
  <si>
    <t>euro/MWhH2</t>
  </si>
  <si>
    <t>euro/kWe</t>
  </si>
  <si>
    <t>euro/kWH2</t>
  </si>
  <si>
    <t>h</t>
  </si>
  <si>
    <t>y</t>
  </si>
  <si>
    <t>euro/km</t>
  </si>
  <si>
    <t>Meuro/km</t>
  </si>
  <si>
    <t>euro/y</t>
  </si>
  <si>
    <t>Specific hydrogen consumption</t>
  </si>
  <si>
    <t>Hydrogen consumption per day</t>
  </si>
  <si>
    <t>Number of tonne-kilometers per day:</t>
  </si>
  <si>
    <t>Power (H2):</t>
  </si>
  <si>
    <t>kgH2/day</t>
  </si>
  <si>
    <t>Efficiency of electrolyser:</t>
  </si>
  <si>
    <t>%</t>
  </si>
  <si>
    <t>Required power (electric) to generate hydrogen:</t>
  </si>
  <si>
    <t>Energy, in H2:</t>
  </si>
  <si>
    <t>MWh/day</t>
  </si>
  <si>
    <t>Electric energy, required to generate hydrogen:</t>
  </si>
  <si>
    <t>Investment costs</t>
  </si>
  <si>
    <t>Unit cost of Electrolyser (PEM), incl. water purification</t>
  </si>
  <si>
    <t>Unit cost of storage tank for hydrogen</t>
  </si>
  <si>
    <t>Unit cost filling system</t>
  </si>
  <si>
    <t>Meuro/device</t>
  </si>
  <si>
    <t>Unit cost compressor 180 bar</t>
  </si>
  <si>
    <t>Unit cost compressor 700 bar</t>
  </si>
  <si>
    <t>dollar/kWe</t>
  </si>
  <si>
    <t>dollar/MWhH2</t>
  </si>
  <si>
    <t>Mdollar/device</t>
  </si>
  <si>
    <t>dollar/kWH2</t>
  </si>
  <si>
    <t>euro/dollar</t>
  </si>
  <si>
    <t>Lifetime Electrolyser (PEM), incl. water purification</t>
  </si>
  <si>
    <t>Lifetime of storage tank for hydrogen</t>
  </si>
  <si>
    <t>Lifetime filling system</t>
  </si>
  <si>
    <t>Lifetime compressor 180 bar</t>
  </si>
  <si>
    <t>Lifetime compressor 700 bar</t>
  </si>
  <si>
    <t>Number of Electrolysers (PEM), incl. water purification</t>
  </si>
  <si>
    <t>Number of storage tanks for hydrogen</t>
  </si>
  <si>
    <t>Number of filling stations</t>
  </si>
  <si>
    <t>Number of compressors 180 bar</t>
  </si>
  <si>
    <t>Number of compressors 700 bar</t>
  </si>
  <si>
    <t>(/)</t>
  </si>
  <si>
    <t>Cost of Electrolyser (PEM), incl. water purification</t>
  </si>
  <si>
    <t>Cost of storage tank for hydrogen</t>
  </si>
  <si>
    <t>Cost of filling stations</t>
  </si>
  <si>
    <t>Cost of compressors 180 bar</t>
  </si>
  <si>
    <t>Cost of compressors 700 bar</t>
  </si>
  <si>
    <t>euro</t>
  </si>
  <si>
    <t>(contains hydrogen for 1 day)</t>
  </si>
  <si>
    <t>Hydrogen - FC</t>
  </si>
  <si>
    <t>Unit cost hydrogen FC train</t>
  </si>
  <si>
    <t>Meuro/train</t>
  </si>
  <si>
    <t>Lifetime hydrogen FC train</t>
  </si>
  <si>
    <t>Number of hydrogen FC trains</t>
  </si>
  <si>
    <t>Cost of hydrogen FC trains</t>
  </si>
  <si>
    <t>Variable costs</t>
  </si>
  <si>
    <t>Unit cost water</t>
  </si>
  <si>
    <t>Unit cost electricity</t>
  </si>
  <si>
    <t>Unit cost labor</t>
  </si>
  <si>
    <t>Unit cost labor:</t>
  </si>
  <si>
    <t>Unit cost electricity:</t>
  </si>
  <si>
    <t>Unit cost water:</t>
  </si>
  <si>
    <t>euro/m³</t>
  </si>
  <si>
    <t>Unit cost maintenance FC trains:</t>
  </si>
  <si>
    <t>Unit cost maintenance stationary hydrogen installations:</t>
  </si>
  <si>
    <t>kWe</t>
  </si>
  <si>
    <t>Cost of water</t>
  </si>
  <si>
    <t>Cost of electricity for electrolysis</t>
  </si>
  <si>
    <t>Cost of electricity for compression</t>
  </si>
  <si>
    <t>Cost of electricity for cooling</t>
  </si>
  <si>
    <t>Cost of maintenance of stationary hydrogen installations</t>
  </si>
  <si>
    <t>Volume of water:</t>
  </si>
  <si>
    <t>m³/y</t>
  </si>
  <si>
    <t>Cost pipelines, meters, controllers, electric wiring,… (addition of 10% on cost of stationary installation)</t>
  </si>
  <si>
    <t>J/(kg.K)</t>
  </si>
  <si>
    <t>specific gas constant hydrogen ( r )</t>
  </si>
  <si>
    <t>adiabatic constant hydrogen ( gamma )</t>
  </si>
  <si>
    <t>p1</t>
  </si>
  <si>
    <t>p2</t>
  </si>
  <si>
    <t>p3</t>
  </si>
  <si>
    <t>T1</t>
  </si>
  <si>
    <t>v1</t>
  </si>
  <si>
    <t>v3</t>
  </si>
  <si>
    <t>bar</t>
  </si>
  <si>
    <t>K</t>
  </si>
  <si>
    <t>m³/kg</t>
  </si>
  <si>
    <t>T2 (after cooling)</t>
  </si>
  <si>
    <t>v2 (after compression, before cooling)</t>
  </si>
  <si>
    <t>v2 (after compression, after cooling)</t>
  </si>
  <si>
    <t>Specific power state 1 to state 2</t>
  </si>
  <si>
    <t>W/kg</t>
  </si>
  <si>
    <t>Specific power state 2 to state 3</t>
  </si>
  <si>
    <t>Compression power state 1 to state 2</t>
  </si>
  <si>
    <t>W</t>
  </si>
  <si>
    <t>Compression power state 2 to state 3</t>
  </si>
  <si>
    <t>Total compression power (isentropic):</t>
  </si>
  <si>
    <t>Total compression power (real):</t>
  </si>
  <si>
    <t>isentropic efficiency of compressor</t>
  </si>
  <si>
    <t xml:space="preserve">Calculation of cooling power </t>
  </si>
  <si>
    <t>T2 (after compression, before cooling)</t>
  </si>
  <si>
    <t>cp hydrogen:</t>
  </si>
  <si>
    <t>Mechanic power for cooling of state 2:</t>
  </si>
  <si>
    <t>T3 (after compression, before cooling)</t>
  </si>
  <si>
    <t>Calculation of electric power for compression (2 steps with inter- and aftercooling)</t>
  </si>
  <si>
    <t>Cooling power (heat) to cool state 3:</t>
  </si>
  <si>
    <t>Cooling power (heat) to cool state 2:</t>
  </si>
  <si>
    <t>Mechanic power for cooling of state 3:</t>
  </si>
  <si>
    <t>Total mechanic power for cooling:</t>
  </si>
  <si>
    <t>Total electric power to drive the compressors of the cooling cycles:</t>
  </si>
  <si>
    <t>efficiency of electric motor to drive cooling compressors:</t>
  </si>
  <si>
    <t>Electric power compression (calculated to the right)</t>
  </si>
  <si>
    <t>Electric power cooling (calculated to the right)</t>
  </si>
  <si>
    <t>Diesel train</t>
  </si>
  <si>
    <t>Specific consumption of a diesel train</t>
  </si>
  <si>
    <t>l/km</t>
  </si>
  <si>
    <t>Number of kilometers per day:</t>
  </si>
  <si>
    <t>l/day</t>
  </si>
  <si>
    <t>TCO calculation (over the lifetime of a FC train)</t>
  </si>
  <si>
    <t>TCO train:</t>
  </si>
  <si>
    <t>TCO storage tank:</t>
  </si>
  <si>
    <t>TCO Electrolyser:</t>
  </si>
  <si>
    <t>TCO filling stations:</t>
  </si>
  <si>
    <t>TCO compressors:</t>
  </si>
  <si>
    <t>TCO pipelines and other appliances:</t>
  </si>
  <si>
    <t>TCO water:</t>
  </si>
  <si>
    <t>TCO electricity:</t>
  </si>
  <si>
    <t>TCO maintenance trains:</t>
  </si>
  <si>
    <t>TCO labor costs driver and supervisor:</t>
  </si>
  <si>
    <t>TCO maintenance stationary installations:</t>
  </si>
  <si>
    <t>km/day</t>
  </si>
  <si>
    <t>Total consumption of all diesel trains on the trajectory per day</t>
  </si>
  <si>
    <t>Investment costs:</t>
  </si>
  <si>
    <t>Unit cost diesel train:</t>
  </si>
  <si>
    <t>Unit cost storage tank:</t>
  </si>
  <si>
    <t>euro/tank</t>
  </si>
  <si>
    <t>Unit cost filling station:</t>
  </si>
  <si>
    <t>euro/station</t>
  </si>
  <si>
    <t>Number of storage tanks:</t>
  </si>
  <si>
    <t>Number of filling stations:</t>
  </si>
  <si>
    <t>Lifetime of diesel trains:</t>
  </si>
  <si>
    <t>Lifetime of storage tanks:</t>
  </si>
  <si>
    <t>Lifetime of filling station:</t>
  </si>
  <si>
    <t>Cost of diesel trains:</t>
  </si>
  <si>
    <t>Cost of storage tanks:</t>
  </si>
  <si>
    <t>Cost of filling stations:</t>
  </si>
  <si>
    <t>Variable costs:</t>
  </si>
  <si>
    <t>Cost of maintenance of stationary installations</t>
  </si>
  <si>
    <t>TCO calculation (over the lifetime of a diesel train):</t>
  </si>
  <si>
    <t>Unit cost diesel:</t>
  </si>
  <si>
    <t>euro/l</t>
  </si>
  <si>
    <t>TCO diesel train:</t>
  </si>
  <si>
    <t>TCO storage tanks:</t>
  </si>
  <si>
    <t>TCO diesel:</t>
  </si>
  <si>
    <t>TCO maintenance of trains:</t>
  </si>
  <si>
    <t>TCO maintenance of stationary installations:</t>
  </si>
  <si>
    <t>CO2 calculation:</t>
  </si>
  <si>
    <t>l</t>
  </si>
  <si>
    <t>CO2</t>
  </si>
  <si>
    <t>kg CO2 per liter diesel:</t>
  </si>
  <si>
    <t>kg/l</t>
  </si>
  <si>
    <t>kg/kWhe</t>
  </si>
  <si>
    <t>CO2 calculation of one train over its lifetime:</t>
  </si>
  <si>
    <t>Electricity for electrolysis:</t>
  </si>
  <si>
    <t>Electricity for compression:</t>
  </si>
  <si>
    <t>Electricity for cooling;</t>
  </si>
  <si>
    <t>Total electricity usage:</t>
  </si>
  <si>
    <t>Electric EMU trains:</t>
  </si>
  <si>
    <t>Variabele Costs:</t>
  </si>
  <si>
    <t>Unit cost of an EMU:</t>
  </si>
  <si>
    <t>Meuro/EMU</t>
  </si>
  <si>
    <t>Unit cost of a sectioning post:</t>
  </si>
  <si>
    <t>Unit cost of the catenary system:</t>
  </si>
  <si>
    <t>Lifetime of an EMU:</t>
  </si>
  <si>
    <t>Lifetime of a traction substation:</t>
  </si>
  <si>
    <t>Lifetime of a sectioning post:</t>
  </si>
  <si>
    <t>Lifetime of the catenary system:</t>
  </si>
  <si>
    <t>Number of traction substations:</t>
  </si>
  <si>
    <t>Number of sectioning posts:</t>
  </si>
  <si>
    <t>Cost of EMUs:</t>
  </si>
  <si>
    <t>Cost of traction substations:</t>
  </si>
  <si>
    <t>Cost of sectioning posts:</t>
  </si>
  <si>
    <t>Cost of catenary systems:</t>
  </si>
  <si>
    <t>Meur</t>
  </si>
  <si>
    <t>Meuro/sst</t>
  </si>
  <si>
    <t>Meuro/sp</t>
  </si>
  <si>
    <t>Number of km of the catenary systems:</t>
  </si>
  <si>
    <t>Unit cost of maintenance of EMU:</t>
  </si>
  <si>
    <t>Unit cost of maintenance of traction substation:</t>
  </si>
  <si>
    <t>Unit cost of maintenance of sectioning post:</t>
  </si>
  <si>
    <t>Unit cost of maintenance of catenary:</t>
  </si>
  <si>
    <t>Electricity:</t>
  </si>
  <si>
    <t>MWh/y</t>
  </si>
  <si>
    <t>TCO calculation (over the lifetime of an EMU):</t>
  </si>
  <si>
    <t>TCO of EMU:</t>
  </si>
  <si>
    <t>TCO of traction substations:</t>
  </si>
  <si>
    <t>TCO of sectioning post:</t>
  </si>
  <si>
    <t>TCO of catenary system:</t>
  </si>
  <si>
    <t>TCO of labor cost driver and supervisor:</t>
  </si>
  <si>
    <t>TCO of maintenance cost of EMU:</t>
  </si>
  <si>
    <t>TCO of maintenance of traction substation:</t>
  </si>
  <si>
    <t>TCO of maintenance of sectioning post:</t>
  </si>
  <si>
    <t>TCO of maintenace of catenary:</t>
  </si>
  <si>
    <t>TCO per train and per km:</t>
  </si>
  <si>
    <t>Total TCO per train and per km:</t>
  </si>
  <si>
    <t>TCO per train and per kilometer:</t>
  </si>
  <si>
    <t>Total TCO of the system:</t>
  </si>
  <si>
    <t>total TCO of the system:</t>
  </si>
  <si>
    <t>Electricity</t>
  </si>
  <si>
    <t>Average speed of trains travelling between station A and B:</t>
  </si>
  <si>
    <t>km/h</t>
  </si>
  <si>
    <t>In station A, trains leave every … minutes:</t>
  </si>
  <si>
    <t>min</t>
  </si>
  <si>
    <t>First train of day leaves A at time:</t>
  </si>
  <si>
    <t>Last train of day leaves A at time:</t>
  </si>
  <si>
    <t>Length of line between stations A and B:</t>
  </si>
  <si>
    <t>Weight of train:</t>
  </si>
  <si>
    <t>tonnes</t>
  </si>
  <si>
    <t>Number of train rides per day A to B:</t>
  </si>
  <si>
    <t>Number of train rides per day B to A:</t>
  </si>
  <si>
    <t>Total number of train rides per day between A and B:</t>
  </si>
  <si>
    <t>Trajectory:</t>
  </si>
  <si>
    <t>Thermodynamical - environmental quantities:</t>
  </si>
  <si>
    <t>Economic quantities:</t>
  </si>
  <si>
    <t>Number of kilometers a physical train does per day:</t>
  </si>
  <si>
    <t>h/y</t>
  </si>
  <si>
    <t>hours per year for a FTE:</t>
  </si>
  <si>
    <t>hours per day for a FTE:</t>
  </si>
  <si>
    <t>h/day</t>
  </si>
  <si>
    <t>Utilization of trains:</t>
  </si>
  <si>
    <t>Number of hours a physical train rides per year:</t>
  </si>
  <si>
    <t>Number of km a physical train rides per year:</t>
  </si>
  <si>
    <t>Incl. waiting time in stations during active period of day</t>
  </si>
  <si>
    <t>euro/train/y</t>
  </si>
  <si>
    <t>per train:</t>
  </si>
  <si>
    <t>Total CO2 emission per train:</t>
  </si>
  <si>
    <t>Total volume of diesel of the system over a train's lifetime:</t>
  </si>
  <si>
    <t>Total emission of CO2 by all trains over a train's lifetime:</t>
  </si>
  <si>
    <t>Total emission of CO2 by one train over a train's lifetime:</t>
  </si>
  <si>
    <t>specific electricity consumption:</t>
  </si>
  <si>
    <t>tonne-km/day</t>
  </si>
  <si>
    <t>total electricity need per day:</t>
  </si>
  <si>
    <t>CO2 for the entire transportation system:</t>
  </si>
  <si>
    <t>CO2 per train:</t>
  </si>
  <si>
    <t>Unit cost stationary diesel infrastructure:</t>
  </si>
  <si>
    <t>Number of stationary diesel infrastructures:</t>
  </si>
  <si>
    <t>Lifetime of stationary diesel infrastructure:</t>
  </si>
  <si>
    <t>Cost of stationary diesel infrastructure:</t>
  </si>
  <si>
    <t>Battery Electric EMU trains:</t>
  </si>
  <si>
    <t>Number of catenary islands for recharging whille driving:</t>
  </si>
  <si>
    <t>Cost of CO2:</t>
  </si>
  <si>
    <t>euro/tonne</t>
  </si>
  <si>
    <t>Presence of train drivers in a train:</t>
  </si>
  <si>
    <t>Presence of train conductors in a train</t>
  </si>
  <si>
    <t>Labor cost of train driver in one train per year:</t>
  </si>
  <si>
    <t>Labor cost of train conductor in one train per year:</t>
  </si>
  <si>
    <t>Labor cost of driver and conductor in one train per year:</t>
  </si>
  <si>
    <t>euro/y/train</t>
  </si>
  <si>
    <t>Labor costs train driver and conductor for all trains:</t>
  </si>
  <si>
    <t>Cost of maintenance of all trains</t>
  </si>
  <si>
    <t>(for all trains and kms)</t>
  </si>
  <si>
    <t>Cost of maintenance of one train</t>
  </si>
  <si>
    <t>Labor costs train driver and conductor for all trains</t>
  </si>
  <si>
    <t>TCO stationary diesel infrastructure:</t>
  </si>
  <si>
    <t>kWh/day</t>
  </si>
  <si>
    <t>kgH2/(km)</t>
  </si>
  <si>
    <t>1 intervention a year each km?</t>
  </si>
  <si>
    <t>L (km)</t>
  </si>
  <si>
    <t>FC</t>
  </si>
  <si>
    <t>DMU</t>
  </si>
  <si>
    <t>EMU</t>
  </si>
  <si>
    <t>BEMU</t>
  </si>
  <si>
    <t>TCO</t>
  </si>
  <si>
    <t>Train immobilization due to maintenance</t>
  </si>
  <si>
    <t>halverwege hydrogen en electrisch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</si>
  <si>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</si>
  <si>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</si>
  <si>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</si>
  <si>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</si>
  <si>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</si>
  <si>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</si>
  <si>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</si>
  <si>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</si>
  <si>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</si>
  <si>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[10]</t>
  </si>
  <si>
    <t>[11]</t>
  </si>
  <si>
    <t>[12]</t>
  </si>
  <si>
    <t>[13]</t>
  </si>
  <si>
    <t>[14]</t>
  </si>
  <si>
    <t>[15]</t>
  </si>
  <si>
    <t>[16]</t>
  </si>
  <si>
    <t>[17]</t>
  </si>
  <si>
    <t>[18]</t>
  </si>
  <si>
    <t>Union Internationale des Chemins de Fer, UIC Code 330, "Railway specific environmental performance indicators", February 2008.</t>
  </si>
  <si>
    <t>https://www.aib-net.org/facts/european-residual-mix</t>
  </si>
  <si>
    <t>Association of Issuing Bodies, "European Residual Mix"</t>
  </si>
  <si>
    <t>https://www.energuide.be/en/questions-answers/what-exactly-is-a-tonne-of-co2/2141/</t>
  </si>
  <si>
    <t>Data from Infrabel - Energy Management Division I.AM-224: average of TSO and DSO connections.</t>
  </si>
  <si>
    <t>Marijn Bijleveld, Sander de Bruyn, Lonneke de Graaff, Arno Schroten en Robert Vergeer, TU Delft, "Handboek Milieuprijzen", 2017</t>
  </si>
  <si>
    <t>Data from Infrabel</t>
  </si>
  <si>
    <t>kg CO2 per kWh electricity generated by an equal share of solar and wind</t>
  </si>
  <si>
    <t>kg CO2 per kWh electricity:</t>
  </si>
  <si>
    <t>Minimum buffertime in stations:</t>
  </si>
  <si>
    <t>Buffertime in stations:</t>
  </si>
  <si>
    <t>Halve the number of physical trains:</t>
  </si>
  <si>
    <t>Change this value so that buffertime &gt;= minimum buffertime</t>
  </si>
  <si>
    <t>Number of physical trains:</t>
  </si>
  <si>
    <t>IEA and OECD: "Technology Roadmap - Hydrogen and Fuel Cells", 2015</t>
  </si>
  <si>
    <t>https://www.iea.org/publications/freepublications/publication/TechnologyRoadmapHydrogenandFuelCells.pdf</t>
  </si>
  <si>
    <t>http://www.metrolinx.com/en/news/announcements/hydrail-resources/CPG-PGM-RPT-245_HydrailFeasibilityReport_R1.pdf</t>
  </si>
  <si>
    <t>CH2M Hill Canada Limited, Ernst&amp;Young Orenda Corporate Finance en Canadian Nuclear Laboratories, "Regional Express Rail Program
Hydrail Feasibility Study Report", February 2018</t>
  </si>
  <si>
    <t>https://www.hexagonxperion.com/fileadmin/user_upload/xperion_Energy___Environment/Datenblaetter_-_xperion_EE/Hexagon_xperion_Datenblaetter/HPU_0218_11_Broschuere-Train_Digital-220x305mm.pdf</t>
  </si>
  <si>
    <t>Hexagon, "LIGHTWEIGHT HYDROGEN STORAGE SYSTEMS  FOR RAIL VEHICLES"</t>
  </si>
  <si>
    <t>https://www.fch.europa.eu/sites/default/files/171121_FCH2JU_Application-Package_WG1_Trains %28ID 2910561%29 %28ID 2911647%29.pdf</t>
  </si>
  <si>
    <t>Roland Berger for FCH2 JU, "Development of Business Cases for Fuel Cells and Hydrogen Applications for Regions and Cities", Fall 2017</t>
  </si>
  <si>
    <t>https://www.akasol.com/library/Downloads/Brosch%C3%BCren/AKASOL_rail_applications_brochure_18.pdf.pdf</t>
  </si>
  <si>
    <t>http://www.hydrogenics.com/wp-content/uploads/HyPM-HD-Brochure.pdf</t>
  </si>
  <si>
    <t>Hydrogenics, "HyPM-HD POWER MODULES - for light and heavy duty mobility", Feb. 2018</t>
  </si>
  <si>
    <t>Akasol, "High Performance Battery Systems for Rail Vehicles", Sept. 2018</t>
  </si>
  <si>
    <t xml:space="preserve"> Carnot efficiency for cooling to state 2</t>
  </si>
  <si>
    <t>Carnot efficiency for cooling to state 3:</t>
  </si>
  <si>
    <t>Hydrogenics, for Shift2Rail, "Workshop Fuel Cells and Hydrogen In the Railway Environment", 2019</t>
  </si>
  <si>
    <t>https://shift2rail.org/wp-content/uploads/2019/05/FCH-HydrogenTrain-Study-Workshop.pdf</t>
  </si>
  <si>
    <t>Ref. number</t>
  </si>
  <si>
    <t>Description</t>
  </si>
  <si>
    <t>Link</t>
  </si>
  <si>
    <t>Yves Laperrière for Bombardier, "Realize your vision with Bombardier TALENT 3 BEMU", APTA 2019 Rail Conference, June 2019</t>
  </si>
  <si>
    <t>https://www.apta.com/wp-content/uploads/Realize-your-vision-with-Bombardier-TALENT-3-BEMU_Yves_Lappierre.pdf</t>
  </si>
  <si>
    <t>https://www.fch.europa.eu/publications/use-fuel-cells-and-hydrogen-railway-environment</t>
  </si>
  <si>
    <t>Roland Berger for FCH JU, "USE OF FUEL CELLS AND HYDROGEN IN THE RAILWAY ENVIRONMENT", May 2019</t>
  </si>
  <si>
    <t>Number of physical EMUs:</t>
  </si>
  <si>
    <t>euro/km/intervention</t>
  </si>
  <si>
    <t>Data from Infrabel - Substations division and Catenary division</t>
  </si>
  <si>
    <t>tonnes/train</t>
  </si>
  <si>
    <t>Battery charging efficiency:</t>
  </si>
  <si>
    <t>Battery discharging efficiency:</t>
  </si>
  <si>
    <t>Number of BEMUs:</t>
  </si>
  <si>
    <t>Unit cost of a BEMU:</t>
  </si>
  <si>
    <t>Lifetime of a BEMU:</t>
  </si>
  <si>
    <t>www.eetimes.com/author.asp?section_id=36&amp;doc_id=1325358</t>
  </si>
  <si>
    <t>Ivan Cowie, "All About Batteries, Part 12: Lithium Titanate (LTO)", Jan. 2015</t>
  </si>
  <si>
    <t>Determination of number of physical trains for the specified time schedule (see fig. below for explanation):</t>
  </si>
  <si>
    <t>Cost of maintenance of all BEMUs:</t>
  </si>
  <si>
    <t>euro/y/sst</t>
  </si>
  <si>
    <t>euro/y/sp</t>
  </si>
  <si>
    <t>TCO of maintenance cost of BEMU:</t>
  </si>
  <si>
    <t>1 intervention per year per km?</t>
  </si>
  <si>
    <t>Unit cost of a (small) traction substation:</t>
  </si>
  <si>
    <t>TCO calculation (over the lifetime of a BEMU), including CO2 costs</t>
  </si>
  <si>
    <t>Cost of BEMUs:</t>
  </si>
  <si>
    <t>TCO calculation (over the lifetime of a BEMU):</t>
  </si>
  <si>
    <t>TCO of BEMU:</t>
  </si>
  <si>
    <t>CO2 costs for the entire system of trains and installations:</t>
  </si>
  <si>
    <t>Total TCO of the system, including CO2 costs:</t>
  </si>
  <si>
    <t>TCO per train and per km, including CO2 costs:</t>
  </si>
  <si>
    <t>TCO calculation (over the lifetime of an EMU), including CO2 costs</t>
  </si>
  <si>
    <t>TCO calculation (over the lifetime of a DMU), including CO2 costs</t>
  </si>
  <si>
    <t>TCO of labor cost driver and conductor:</t>
  </si>
  <si>
    <t>TCO of electricity:</t>
  </si>
  <si>
    <t>euro/km/train</t>
  </si>
  <si>
    <t>TCO, including CO2 costs</t>
  </si>
  <si>
    <t>km/y/train</t>
  </si>
  <si>
    <t>Diesel cost for all trains:</t>
  </si>
  <si>
    <t># trains</t>
  </si>
  <si>
    <t>Trains</t>
  </si>
  <si>
    <t>Trains each… minutes</t>
  </si>
  <si>
    <t>Number of physical trains</t>
  </si>
  <si>
    <t>Trains each 30 minutes; 60 km/h</t>
  </si>
  <si>
    <t>Trains each 60 minutes; 60 km/h</t>
  </si>
  <si>
    <t>L=100 km; 60 km/h</t>
  </si>
  <si>
    <t>Number of train rides</t>
  </si>
  <si>
    <t>year</t>
  </si>
  <si>
    <t>Electrolyser</t>
  </si>
  <si>
    <t>Storage Tank</t>
  </si>
  <si>
    <t>Filling system</t>
  </si>
  <si>
    <t>Compressors</t>
  </si>
  <si>
    <t>Pipelines and other appliances</t>
  </si>
  <si>
    <t>Water</t>
  </si>
  <si>
    <t>Maintenance train</t>
  </si>
  <si>
    <t>Maintenance stationary installations</t>
  </si>
  <si>
    <t>TCO labor costs driver and conductor:</t>
  </si>
  <si>
    <t>Labor costs driver and conductor</t>
  </si>
  <si>
    <t>CAPEX (euro)</t>
  </si>
  <si>
    <t>OPEX (euro)</t>
  </si>
  <si>
    <t>Total (euro)</t>
  </si>
  <si>
    <t>Stationary diesel installations</t>
  </si>
  <si>
    <t>Diesel</t>
  </si>
  <si>
    <t>Traction substations</t>
  </si>
  <si>
    <t>Catenary systems</t>
  </si>
  <si>
    <t>Maintenance substations installations</t>
  </si>
  <si>
    <t>Maintenance catenary</t>
  </si>
  <si>
    <t>CAPEX cumulative (euro)</t>
  </si>
  <si>
    <t>Storage tank</t>
  </si>
  <si>
    <t>CAPEX : investment (euro)</t>
  </si>
  <si>
    <t>CAPEX investments (euro)</t>
  </si>
  <si>
    <t>CAPEX: investments (euro)</t>
  </si>
  <si>
    <t>CAPEX: cumulative (euro)</t>
  </si>
  <si>
    <t>Energuide, "What exactly is a tonne of CO2, May 2019.</t>
  </si>
  <si>
    <t>conversion multiplier dollar to euro</t>
  </si>
  <si>
    <t>Unit cost of a (larger) traction substation:</t>
  </si>
  <si>
    <t>L=50 km; 60 km/h; every 30 minutes</t>
  </si>
  <si>
    <t>CO2-cost (euro/tonne)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</si>
</sst>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00"/>
    <numFmt numFmtId="166" formatCode="#,##0\ &quot;€&quot;"/>
    <numFmt numFmtId="167" formatCode="#,##0\ _€"/>
    <numFmt numFmtId="168" formatCode="#,##0.000\ _€"/>
    <numFmt numFmtId="169" formatCode="0.00000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6" fillId="3" borderId="1" applyNumberFormat="0" applyAlignment="0" applyProtection="0"/>
    <xf numFmtId="0" fontId="7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9" fillId="6" borderId="1" applyNumberFormat="0" applyAlignment="0" applyProtection="0"/>
  </cellStyleXfs>
  <cellXfs count="34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/>
    <xf numFmtId="0" fontId="7" fillId="0" borderId="0" xfId="2"/>
    <xf numFmtId="0" fontId="6" fillId="3" borderId="1" xfId="1"/>
    <xf numFmtId="0" fontId="0" fillId="0" borderId="0" xfId="0" applyAlignment="1">
      <alignment horizontal="center"/>
    </xf>
    <xf numFmtId="165" fontId="6" fillId="3" borderId="1" xfId="1" applyNumberFormat="1"/>
    <xf numFmtId="0" fontId="0" fillId="4" borderId="0" xfId="0" applyFill="1"/>
    <xf numFmtId="0" fontId="0" fillId="0" borderId="0" xfId="0" applyAlignment="1">
      <alignment horizontal="center"/>
    </xf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right" vertical="center"/>
    </xf>
    <xf numFmtId="168" fontId="0" fillId="0" borderId="0" xfId="0" applyNumberFormat="1"/>
    <xf numFmtId="1" fontId="6" fillId="3" borderId="1" xfId="1" applyNumberFormat="1"/>
    <xf numFmtId="3" fontId="0" fillId="0" borderId="0" xfId="0" applyNumberFormat="1"/>
    <xf numFmtId="0" fontId="8" fillId="5" borderId="0" xfId="3" applyAlignment="1">
      <alignment horizontal="left" vertical="center" wrapText="1"/>
    </xf>
    <xf numFmtId="0" fontId="8" fillId="5" borderId="0" xfId="3" applyAlignment="1">
      <alignment horizontal="left" vertical="center"/>
    </xf>
    <xf numFmtId="167" fontId="6" fillId="3" borderId="1" xfId="1" applyNumberFormat="1"/>
    <xf numFmtId="169" fontId="9" fillId="6" borderId="1" xfId="4" applyNumberFormat="1"/>
    <xf numFmtId="3" fontId="9" fillId="6" borderId="1" xfId="4" applyNumberFormat="1"/>
    <xf numFmtId="0" fontId="8" fillId="5" borderId="0" xfId="3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5" borderId="6" xfId="3" applyBorder="1" applyAlignment="1">
      <alignment horizontal="center"/>
    </xf>
    <xf numFmtId="0" fontId="8" fillId="5" borderId="0" xfId="3" applyBorder="1" applyAlignment="1">
      <alignment horizontal="center"/>
    </xf>
    <xf numFmtId="0" fontId="8" fillId="5" borderId="0" xfId="3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5">
    <cellStyle name="Calcul" xfId="4" builtinId="22"/>
    <cellStyle name="Entrée" xfId="1" builtinId="20"/>
    <cellStyle name="Lien hypertexte" xfId="2" builtinId="8"/>
    <cellStyle name="Neutre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chartsheet" Target="chartsheets/sheet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3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7.xml"/><Relationship Id="rId10" Type="http://schemas.openxmlformats.org/officeDocument/2006/relationships/chartsheet" Target="chartsheets/sheet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chartsheet" Target="chartsheets/sheet6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'CostAnalysis vs time'!$B$4</c:f>
              <c:strCache>
                <c:ptCount val="1"/>
                <c:pt idx="0">
                  <c:v>FC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'CostAnalysis vs time'!$B$7:$B$36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'CostAnalysis vs time'!$T$7:$T$36</c:f>
              <c:numCache>
                <c:formatCode>#\ ##0\ _€</c:formatCode>
                <c:ptCount val="30"/>
                <c:pt idx="0">
                  <c:v>47932831.432692349</c:v>
                </c:pt>
                <c:pt idx="1">
                  <c:v>53658013.620384693</c:v>
                </c:pt>
                <c:pt idx="2">
                  <c:v>59383195.808077037</c:v>
                </c:pt>
                <c:pt idx="3">
                  <c:v>65108377.995769382</c:v>
                </c:pt>
                <c:pt idx="4">
                  <c:v>70833560.183461726</c:v>
                </c:pt>
                <c:pt idx="5">
                  <c:v>76558742.371154085</c:v>
                </c:pt>
                <c:pt idx="6">
                  <c:v>91954949.558846414</c:v>
                </c:pt>
                <c:pt idx="7">
                  <c:v>97680131.746538758</c:v>
                </c:pt>
                <c:pt idx="8">
                  <c:v>103405313.93423112</c:v>
                </c:pt>
                <c:pt idx="9">
                  <c:v>109130496.12192346</c:v>
                </c:pt>
                <c:pt idx="10">
                  <c:v>114855679.0296158</c:v>
                </c:pt>
                <c:pt idx="11">
                  <c:v>120580861.21730813</c:v>
                </c:pt>
                <c:pt idx="12">
                  <c:v>135977068.40500051</c:v>
                </c:pt>
                <c:pt idx="13">
                  <c:v>141702250.59269285</c:v>
                </c:pt>
                <c:pt idx="14">
                  <c:v>147427432.7803852</c:v>
                </c:pt>
                <c:pt idx="15">
                  <c:v>153152614.96807754</c:v>
                </c:pt>
                <c:pt idx="16">
                  <c:v>158877797.15576988</c:v>
                </c:pt>
                <c:pt idx="17">
                  <c:v>164602979.34346223</c:v>
                </c:pt>
                <c:pt idx="18">
                  <c:v>179999186.53115457</c:v>
                </c:pt>
                <c:pt idx="19">
                  <c:v>185724368.71884692</c:v>
                </c:pt>
                <c:pt idx="20">
                  <c:v>192810934.37653929</c:v>
                </c:pt>
                <c:pt idx="21">
                  <c:v>198536116.5642316</c:v>
                </c:pt>
                <c:pt idx="22">
                  <c:v>204261298.75192398</c:v>
                </c:pt>
                <c:pt idx="23">
                  <c:v>209986480.93961629</c:v>
                </c:pt>
                <c:pt idx="24">
                  <c:v>225382688.12730867</c:v>
                </c:pt>
                <c:pt idx="25">
                  <c:v>231107870.31500101</c:v>
                </c:pt>
                <c:pt idx="26">
                  <c:v>236833052.50269333</c:v>
                </c:pt>
                <c:pt idx="27">
                  <c:v>242558234.6903857</c:v>
                </c:pt>
                <c:pt idx="28">
                  <c:v>248283416.87807804</c:v>
                </c:pt>
                <c:pt idx="29">
                  <c:v>254008599.06577039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45-47B0-B4F1-8C3D9DBDFEE5}"/>
            </c:ext>
          </c:extLst>
        </c:ser>
        <c:ser>
          <c:idx val="1"/>
          <c:order val="1"/>
          <c:tx>
            <c:strRef>
              <c:f>'CostAnalysis vs time'!$X$4</c:f>
              <c:strCache>
                <c:ptCount val="1"/>
                <c:pt idx="0">
                  <c:v>DMU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'CostAnalysis vs time'!$X$7:$X$36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'CostAnalysis vs time'!$AG$7:$AG$36</c:f>
              <c:numCache>
                <c:formatCode>#\ ##0\ _€</c:formatCode>
                <c:ptCount val="30"/>
                <c:pt idx="0">
                  <c:v>24438865.73643411</c:v>
                </c:pt>
                <c:pt idx="1">
                  <c:v>27877731.472868219</c:v>
                </c:pt>
                <c:pt idx="2">
                  <c:v>31316597.209302325</c:v>
                </c:pt>
                <c:pt idx="3">
                  <c:v>34755462.945736438</c:v>
                </c:pt>
                <c:pt idx="4">
                  <c:v>38194328.68217054</c:v>
                </c:pt>
                <c:pt idx="5">
                  <c:v>41633194.41860465</c:v>
                </c:pt>
                <c:pt idx="6">
                  <c:v>45072060.155038759</c:v>
                </c:pt>
                <c:pt idx="7">
                  <c:v>48510925.891472869</c:v>
                </c:pt>
                <c:pt idx="8">
                  <c:v>51949791.627906978</c:v>
                </c:pt>
                <c:pt idx="9">
                  <c:v>55388657.364341088</c:v>
                </c:pt>
                <c:pt idx="10">
                  <c:v>58827523.100775197</c:v>
                </c:pt>
                <c:pt idx="11">
                  <c:v>62266388.837209299</c:v>
                </c:pt>
                <c:pt idx="12">
                  <c:v>65705254.573643416</c:v>
                </c:pt>
                <c:pt idx="13">
                  <c:v>69144120.310077518</c:v>
                </c:pt>
                <c:pt idx="14">
                  <c:v>72582986.04651162</c:v>
                </c:pt>
                <c:pt idx="15">
                  <c:v>76021851.782945737</c:v>
                </c:pt>
                <c:pt idx="16">
                  <c:v>79460717.519379854</c:v>
                </c:pt>
                <c:pt idx="17">
                  <c:v>82899583.255813956</c:v>
                </c:pt>
                <c:pt idx="18">
                  <c:v>86338448.992248058</c:v>
                </c:pt>
                <c:pt idx="19">
                  <c:v>89777314.728682175</c:v>
                </c:pt>
                <c:pt idx="20">
                  <c:v>96216180.465116277</c:v>
                </c:pt>
                <c:pt idx="21">
                  <c:v>99655046.201550394</c:v>
                </c:pt>
                <c:pt idx="22">
                  <c:v>103093911.9379845</c:v>
                </c:pt>
                <c:pt idx="23">
                  <c:v>106532777.6744186</c:v>
                </c:pt>
                <c:pt idx="24">
                  <c:v>109971643.41085272</c:v>
                </c:pt>
                <c:pt idx="25">
                  <c:v>113410509.14728683</c:v>
                </c:pt>
                <c:pt idx="26">
                  <c:v>116849374.88372093</c:v>
                </c:pt>
                <c:pt idx="27">
                  <c:v>120288240.62015504</c:v>
                </c:pt>
                <c:pt idx="28">
                  <c:v>123727106.35658914</c:v>
                </c:pt>
                <c:pt idx="29">
                  <c:v>127165972.09302326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45-47B0-B4F1-8C3D9DBDFEE5}"/>
            </c:ext>
          </c:extLst>
        </c:ser>
        <c:ser>
          <c:idx val="2"/>
          <c:order val="2"/>
          <c:tx>
            <c:strRef>
              <c:f>'CostAnalysis vs time'!$AL$4</c:f>
              <c:strCache>
                <c:ptCount val="1"/>
                <c:pt idx="0">
                  <c:v>EMU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'CostAnalysis vs time'!$AL$7:$AL$36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'CostAnalysis vs time'!$AX$7:$AX$36</c:f>
              <c:numCache>
                <c:formatCode>#\ ##0\ _€</c:formatCode>
                <c:ptCount val="30"/>
                <c:pt idx="0">
                  <c:v>91681415.736434102</c:v>
                </c:pt>
                <c:pt idx="1">
                  <c:v>94362831.472868219</c:v>
                </c:pt>
                <c:pt idx="2">
                  <c:v>97044247.209302321</c:v>
                </c:pt>
                <c:pt idx="3">
                  <c:v>99725662.945736438</c:v>
                </c:pt>
                <c:pt idx="4">
                  <c:v>102407078.68217054</c:v>
                </c:pt>
                <c:pt idx="5">
                  <c:v>105088494.41860466</c:v>
                </c:pt>
                <c:pt idx="6">
                  <c:v>107769910.15503876</c:v>
                </c:pt>
                <c:pt idx="7">
                  <c:v>110451325.89147288</c:v>
                </c:pt>
                <c:pt idx="8">
                  <c:v>113132741.62790698</c:v>
                </c:pt>
                <c:pt idx="9">
                  <c:v>115814157.36434108</c:v>
                </c:pt>
                <c:pt idx="10">
                  <c:v>118495573.1007752</c:v>
                </c:pt>
                <c:pt idx="11">
                  <c:v>121176988.8372093</c:v>
                </c:pt>
                <c:pt idx="12">
                  <c:v>123858404.57364342</c:v>
                </c:pt>
                <c:pt idx="13">
                  <c:v>126539820.31007752</c:v>
                </c:pt>
                <c:pt idx="14">
                  <c:v>129221236.04651162</c:v>
                </c:pt>
                <c:pt idx="15">
                  <c:v>131902651.78294574</c:v>
                </c:pt>
                <c:pt idx="16">
                  <c:v>134584067.51937985</c:v>
                </c:pt>
                <c:pt idx="17">
                  <c:v>137265483.25581396</c:v>
                </c:pt>
                <c:pt idx="18">
                  <c:v>139946898.99224806</c:v>
                </c:pt>
                <c:pt idx="19">
                  <c:v>142628314.72868216</c:v>
                </c:pt>
                <c:pt idx="20">
                  <c:v>145309730.46511629</c:v>
                </c:pt>
                <c:pt idx="21">
                  <c:v>147991146.20155039</c:v>
                </c:pt>
                <c:pt idx="22">
                  <c:v>150672561.9379845</c:v>
                </c:pt>
                <c:pt idx="23">
                  <c:v>153353977.6744186</c:v>
                </c:pt>
                <c:pt idx="24">
                  <c:v>156035393.41085273</c:v>
                </c:pt>
                <c:pt idx="25">
                  <c:v>158716809.14728683</c:v>
                </c:pt>
                <c:pt idx="26">
                  <c:v>161398224.88372093</c:v>
                </c:pt>
                <c:pt idx="27">
                  <c:v>164079640.62015504</c:v>
                </c:pt>
                <c:pt idx="28">
                  <c:v>166761056.35658914</c:v>
                </c:pt>
                <c:pt idx="29">
                  <c:v>169442472.09302324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45-47B0-B4F1-8C3D9DBDFEE5}"/>
            </c:ext>
          </c:extLst>
        </c:ser>
        <c:ser>
          <c:idx val="3"/>
          <c:order val="3"/>
          <c:tx>
            <c:strRef>
              <c:f>'CostAnalysis vs time'!$BC$4</c:f>
              <c:strCache>
                <c:ptCount val="1"/>
                <c:pt idx="0">
                  <c:v>BEMU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'CostAnalysis vs time'!$BC$7:$BC$36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'CostAnalysis vs time'!$BO$7:$BO$36</c:f>
              <c:numCache>
                <c:formatCode>#\ ##0\ _€</c:formatCode>
                <c:ptCount val="30"/>
                <c:pt idx="0">
                  <c:v>55789388.677610584</c:v>
                </c:pt>
                <c:pt idx="1">
                  <c:v>58578777.35522116</c:v>
                </c:pt>
                <c:pt idx="2">
                  <c:v>61368166.032831743</c:v>
                </c:pt>
                <c:pt idx="3">
                  <c:v>64157554.71044232</c:v>
                </c:pt>
                <c:pt idx="4">
                  <c:v>66946943.388052896</c:v>
                </c:pt>
                <c:pt idx="5">
                  <c:v>69736332.065663472</c:v>
                </c:pt>
                <c:pt idx="6">
                  <c:v>72525720.743274063</c:v>
                </c:pt>
                <c:pt idx="7">
                  <c:v>75315109.420884639</c:v>
                </c:pt>
                <c:pt idx="8">
                  <c:v>78104498.098495215</c:v>
                </c:pt>
                <c:pt idx="9">
                  <c:v>80893886.776105791</c:v>
                </c:pt>
                <c:pt idx="10">
                  <c:v>83683275.453716382</c:v>
                </c:pt>
                <c:pt idx="11">
                  <c:v>86472664.131326944</c:v>
                </c:pt>
                <c:pt idx="12">
                  <c:v>89262052.808937535</c:v>
                </c:pt>
                <c:pt idx="13">
                  <c:v>92051441.486548111</c:v>
                </c:pt>
                <c:pt idx="14">
                  <c:v>94840830.164158672</c:v>
                </c:pt>
                <c:pt idx="15">
                  <c:v>97630218.841769263</c:v>
                </c:pt>
                <c:pt idx="16">
                  <c:v>100419607.51937985</c:v>
                </c:pt>
                <c:pt idx="17">
                  <c:v>103208996.19699043</c:v>
                </c:pt>
                <c:pt idx="18">
                  <c:v>105998384.87460101</c:v>
                </c:pt>
                <c:pt idx="19">
                  <c:v>108787773.55221158</c:v>
                </c:pt>
                <c:pt idx="20">
                  <c:v>111577162.22982216</c:v>
                </c:pt>
                <c:pt idx="21">
                  <c:v>114366550.90743273</c:v>
                </c:pt>
                <c:pt idx="22">
                  <c:v>117155939.58504333</c:v>
                </c:pt>
                <c:pt idx="23">
                  <c:v>119945328.26265389</c:v>
                </c:pt>
                <c:pt idx="24">
                  <c:v>122734716.94026448</c:v>
                </c:pt>
                <c:pt idx="25">
                  <c:v>125524105.61787507</c:v>
                </c:pt>
                <c:pt idx="26">
                  <c:v>128313494.29548565</c:v>
                </c:pt>
                <c:pt idx="27">
                  <c:v>131102882.97309622</c:v>
                </c:pt>
                <c:pt idx="28">
                  <c:v>133892271.6507068</c:v>
                </c:pt>
                <c:pt idx="29">
                  <c:v>136681660.32831737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45-47B0-B4F1-8C3D9DBDF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1200768"/>
        <c:axId val="641202080"/>
      </c:scatterChart>
      <c:valAx>
        <c:axId val="64120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202080"/>
        <c:crosses val="autoZero"/>
        <c:crossBetween val="midCat"/>
      </c:valAx>
      <c:valAx>
        <c:axId val="64120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Cumulative costs (euro)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\ _€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200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/>
              <a:t>TCO per train versus CO2 unit costs</a:t>
            </a:r>
            <a:br>
              <a:rPr lang="en-GB" sz="1600"/>
            </a:br>
            <a:r>
              <a:rPr lang="en-GB" sz="1600"/>
              <a:t>(L=50</a:t>
            </a:r>
            <a:r>
              <a:rPr lang="en-GB" sz="1600" baseline="0"/>
              <a:t> km; 60 km/h average; every 30 minutes)</a:t>
            </a:r>
            <a:endParaRPr lang="en-GB" sz="1800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Results!$M$66</c:f>
              <c:strCache>
                <c:ptCount val="1"/>
                <c:pt idx="0">
                  <c:v>FC</c:v>
                </c:pt>
              </c:strCache>
            </c:strRef>
          </c:tx>
          <c:xVal>
            <c:numRef>
              <c:f>Results!$C$67:$C$77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Results!$M$67:$M$77</c:f>
              <c:numCache>
                <c:formatCode>General</c:formatCode>
                <c:ptCount val="11"/>
                <c:pt idx="0">
                  <c:v>1.6359949767298982</c:v>
                </c:pt>
                <c:pt idx="1">
                  <c:v>1.6434483604655228</c:v>
                </c:pt>
                <c:pt idx="2">
                  <c:v>1.6509017442011469</c:v>
                </c:pt>
                <c:pt idx="3">
                  <c:v>1.6583551279367701</c:v>
                </c:pt>
                <c:pt idx="4">
                  <c:v>1.6658085116723957</c:v>
                </c:pt>
                <c:pt idx="5">
                  <c:v>1.6732618954080201</c:v>
                </c:pt>
                <c:pt idx="6">
                  <c:v>1.6807152791436444</c:v>
                </c:pt>
                <c:pt idx="7">
                  <c:v>1.6881686628792689</c:v>
                </c:pt>
                <c:pt idx="8">
                  <c:v>1.695622046614893</c:v>
                </c:pt>
                <c:pt idx="9">
                  <c:v>1.7030754303505176</c:v>
                </c:pt>
                <c:pt idx="10">
                  <c:v>1.7105288140861419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836D-49CB-8434-4737A77FC9FB}"/>
            </c:ext>
          </c:extLst>
        </c:ser>
        <c:ser>
          <c:idx val="5"/>
          <c:order val="1"/>
          <c:tx>
            <c:strRef>
              <c:f>Results!$N$66</c:f>
              <c:strCache>
                <c:ptCount val="1"/>
                <c:pt idx="0">
                  <c:v>DMU</c:v>
                </c:pt>
              </c:strCache>
            </c:strRef>
          </c:tx>
          <c:xVal>
            <c:numRef>
              <c:f>Results!$C$67:$C$77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Results!$N$67:$N$77</c:f>
              <c:numCache>
                <c:formatCode>General</c:formatCode>
                <c:ptCount val="11"/>
                <c:pt idx="0">
                  <c:v>0.79696836690146666</c:v>
                </c:pt>
                <c:pt idx="1">
                  <c:v>0.84167172690146663</c:v>
                </c:pt>
                <c:pt idx="2">
                  <c:v>0.8863750869014666</c:v>
                </c:pt>
                <c:pt idx="3">
                  <c:v>0.93107844690146657</c:v>
                </c:pt>
                <c:pt idx="4">
                  <c:v>0.97578180690146665</c:v>
                </c:pt>
                <c:pt idx="5">
                  <c:v>1.0204851669014667</c:v>
                </c:pt>
                <c:pt idx="6">
                  <c:v>1.0651885269014667</c:v>
                </c:pt>
                <c:pt idx="7">
                  <c:v>1.1098918869014665</c:v>
                </c:pt>
                <c:pt idx="8">
                  <c:v>1.1545952469014664</c:v>
                </c:pt>
                <c:pt idx="9">
                  <c:v>1.1992986069014666</c:v>
                </c:pt>
                <c:pt idx="10">
                  <c:v>1.2440019669014666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836D-49CB-8434-4737A77FC9FB}"/>
            </c:ext>
          </c:extLst>
        </c:ser>
        <c:ser>
          <c:idx val="6"/>
          <c:order val="2"/>
          <c:tx>
            <c:strRef>
              <c:f>Results!$O$66</c:f>
              <c:strCache>
                <c:ptCount val="1"/>
                <c:pt idx="0">
                  <c:v>EMU</c:v>
                </c:pt>
              </c:strCache>
            </c:strRef>
          </c:tx>
          <c:xVal>
            <c:numRef>
              <c:f>Results!$C$67:$C$77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Results!$O$67:$O$77</c:f>
              <c:numCache>
                <c:formatCode>General</c:formatCode>
                <c:ptCount val="11"/>
                <c:pt idx="0">
                  <c:v>0.88275286715514489</c:v>
                </c:pt>
                <c:pt idx="1">
                  <c:v>0.8964684921551449</c:v>
                </c:pt>
                <c:pt idx="2">
                  <c:v>0.9101841171551448</c:v>
                </c:pt>
                <c:pt idx="3">
                  <c:v>0.92389974215514481</c:v>
                </c:pt>
                <c:pt idx="4">
                  <c:v>0.93761536715514482</c:v>
                </c:pt>
                <c:pt idx="5">
                  <c:v>0.95133099215514483</c:v>
                </c:pt>
                <c:pt idx="6">
                  <c:v>0.96504661715514484</c:v>
                </c:pt>
                <c:pt idx="7">
                  <c:v>0.97876224215514485</c:v>
                </c:pt>
                <c:pt idx="8">
                  <c:v>0.99247786715514486</c:v>
                </c:pt>
                <c:pt idx="9">
                  <c:v>1.0061934921551448</c:v>
                </c:pt>
                <c:pt idx="10">
                  <c:v>1.0199091171551449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836D-49CB-8434-4737A77FC9FB}"/>
            </c:ext>
          </c:extLst>
        </c:ser>
        <c:ser>
          <c:idx val="7"/>
          <c:order val="3"/>
          <c:tx>
            <c:strRef>
              <c:f>Results!$P$66</c:f>
              <c:strCache>
                <c:ptCount val="1"/>
                <c:pt idx="0">
                  <c:v>BEMU</c:v>
                </c:pt>
              </c:strCache>
            </c:strRef>
          </c:tx>
          <c:xVal>
            <c:numRef>
              <c:f>Results!$C$67:$C$77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Results!$P$67:$P$77</c:f>
              <c:numCache>
                <c:formatCode>General</c:formatCode>
                <c:ptCount val="11"/>
                <c:pt idx="0">
                  <c:v>0.82523884023539684</c:v>
                </c:pt>
                <c:pt idx="1">
                  <c:v>0.84222413435304389</c:v>
                </c:pt>
                <c:pt idx="2">
                  <c:v>0.85920942847069104</c:v>
                </c:pt>
                <c:pt idx="3">
                  <c:v>0.87619472258833786</c:v>
                </c:pt>
                <c:pt idx="4">
                  <c:v>0.89318001670598501</c:v>
                </c:pt>
                <c:pt idx="5">
                  <c:v>0.91016531082363228</c:v>
                </c:pt>
                <c:pt idx="6">
                  <c:v>0.9271506049412791</c:v>
                </c:pt>
                <c:pt idx="7">
                  <c:v>0.94413589905892625</c:v>
                </c:pt>
                <c:pt idx="8">
                  <c:v>0.96112119317657341</c:v>
                </c:pt>
                <c:pt idx="9">
                  <c:v>0.97810648729422034</c:v>
                </c:pt>
                <c:pt idx="10">
                  <c:v>0.99509178141186727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836D-49CB-8434-4737A77FC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12752"/>
        <c:axId val="719609800"/>
      </c:scatterChart>
      <c:valAx>
        <c:axId val="719612752"/>
        <c:scaling>
          <c:orientation val="minMax"/>
          <c:max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Unit cost CO2 (euro/tonne)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09800"/>
        <c:crosses val="autoZero"/>
        <c:crossBetween val="midCat"/>
      </c:valAx>
      <c:valAx>
        <c:axId val="719609800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TCO</a:t>
                </a:r>
                <a:r>
                  <a:rPr lang="en-GB" sz="1600" baseline="0"/>
                  <a:t> per train per km over a train's lifetime (euro/km/train)</a:t>
                </a:r>
                <a:endParaRPr lang="en-GB" sz="16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12752"/>
        <c:crosses val="autoZero"/>
        <c:crossBetween val="midCat"/>
        <c:majorUnit val="0.1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TCO over the lifetime of a train, per km and per train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70603674540682E-2"/>
          <c:y val="0.15782407407407409"/>
          <c:w val="0.88396062992125979"/>
          <c:h val="0.61498432487605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Results!$E$3</c:f>
              <c:strCache>
                <c:ptCount val="1"/>
                <c:pt idx="0">
                  <c:v>FC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Results!$E$4:$E$21</c:f>
              <c:numCache>
                <c:formatCode>General</c:formatCode>
                <c:ptCount val="18"/>
                <c:pt idx="0">
                  <c:v>1.9114507822536047</c:v>
                </c:pt>
                <c:pt idx="1">
                  <c:v>1.7147731941446291</c:v>
                </c:pt>
                <c:pt idx="2">
                  <c:v>1.5967666412792441</c:v>
                </c:pt>
                <c:pt idx="3">
                  <c:v>1.1470004125977036</c:v>
                </c:pt>
                <c:pt idx="4">
                  <c:v>1.0916040907650164</c:v>
                </c:pt>
                <c:pt idx="5">
                  <c:v>1.0500568493905014</c:v>
                </c:pt>
                <c:pt idx="6">
                  <c:v>0.82500333933119219</c:v>
                </c:pt>
                <c:pt idx="7">
                  <c:v>0.79973095467617517</c:v>
                </c:pt>
                <c:pt idx="8">
                  <c:v>0.66404204532818367</c:v>
                </c:pt>
                <c:pt idx="9">
                  <c:v>0.64704783259985965</c:v>
                </c:pt>
                <c:pt idx="10">
                  <c:v>0.63266811413743163</c:v>
                </c:pt>
                <c:pt idx="11">
                  <c:v>0.54407452014530644</c:v>
                </c:pt>
                <c:pt idx="12">
                  <c:v>0.53349174052182902</c:v>
                </c:pt>
                <c:pt idx="13">
                  <c:v>0.52423180835128635</c:v>
                </c:pt>
                <c:pt idx="14">
                  <c:v>0.46177179699383014</c:v>
                </c:pt>
                <c:pt idx="15">
                  <c:v>0.45455778007017505</c:v>
                </c:pt>
                <c:pt idx="16">
                  <c:v>0.44810313334901003</c:v>
                </c:pt>
                <c:pt idx="17">
                  <c:v>0.4016754058951888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A0-452F-9D04-445C32DD5E23}"/>
            </c:ext>
          </c:extLst>
        </c:ser>
        <c:ser>
          <c:idx val="1"/>
          <c:order val="1"/>
          <c:tx>
            <c:strRef>
              <c:f>Results!$F$3</c:f>
              <c:strCache>
                <c:ptCount val="1"/>
                <c:pt idx="0">
                  <c:v>DMU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Results!$F$4:$F$21</c:f>
              <c:numCache>
                <c:formatCode>General</c:formatCode>
                <c:ptCount val="18"/>
                <c:pt idx="0">
                  <c:v>1.0234876169575118</c:v>
                </c:pt>
                <c:pt idx="1">
                  <c:v>0.86597558567248367</c:v>
                </c:pt>
                <c:pt idx="2">
                  <c:v>0.77146836690146658</c:v>
                </c:pt>
                <c:pt idx="3">
                  <c:v>0.58058322714240196</c:v>
                </c:pt>
                <c:pt idx="4">
                  <c:v>0.53565793161978248</c:v>
                </c:pt>
                <c:pt idx="5">
                  <c:v>0.50196395997781795</c:v>
                </c:pt>
                <c:pt idx="6">
                  <c:v>0.41190853961904988</c:v>
                </c:pt>
                <c:pt idx="7">
                  <c:v>0.39096163483888474</c:v>
                </c:pt>
                <c:pt idx="8">
                  <c:v>0.33553375010592273</c:v>
                </c:pt>
                <c:pt idx="9">
                  <c:v>0.32125922858187905</c:v>
                </c:pt>
                <c:pt idx="10">
                  <c:v>0.30918078729230369</c:v>
                </c:pt>
                <c:pt idx="11">
                  <c:v>0.27331428575642497</c:v>
                </c:pt>
                <c:pt idx="12">
                  <c:v>0.26434485504937877</c:v>
                </c:pt>
                <c:pt idx="13">
                  <c:v>0.25649660318071332</c:v>
                </c:pt>
                <c:pt idx="14">
                  <c:v>0.23135361934586585</c:v>
                </c:pt>
                <c:pt idx="15">
                  <c:v>0.22519965987999863</c:v>
                </c:pt>
                <c:pt idx="16">
                  <c:v>0.2196934856210648</c:v>
                </c:pt>
                <c:pt idx="17">
                  <c:v>0.20107748969800479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A0-452F-9D04-445C32DD5E23}"/>
            </c:ext>
          </c:extLst>
        </c:ser>
        <c:ser>
          <c:idx val="2"/>
          <c:order val="2"/>
          <c:tx>
            <c:strRef>
              <c:f>Results!$G$3</c:f>
              <c:strCache>
                <c:ptCount val="1"/>
                <c:pt idx="0">
                  <c:v>EMU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Results!$G$4:$G$21</c:f>
              <c:numCache>
                <c:formatCode>General</c:formatCode>
                <c:ptCount val="18"/>
                <c:pt idx="0">
                  <c:v>1.1244523239590338</c:v>
                </c:pt>
                <c:pt idx="1">
                  <c:v>0.96967922595660339</c:v>
                </c:pt>
                <c:pt idx="2">
                  <c:v>0.87681536715514485</c:v>
                </c:pt>
                <c:pt idx="3">
                  <c:v>0.64361749485760578</c:v>
                </c:pt>
                <c:pt idx="4">
                  <c:v>0.60034639348347263</c:v>
                </c:pt>
                <c:pt idx="5">
                  <c:v>0.56789306745287282</c:v>
                </c:pt>
                <c:pt idx="6">
                  <c:v>0.45811535616733334</c:v>
                </c:pt>
                <c:pt idx="7">
                  <c:v>0.43814379173893553</c:v>
                </c:pt>
                <c:pt idx="8">
                  <c:v>0.37132344269390299</c:v>
                </c:pt>
                <c:pt idx="9">
                  <c:v>0.3577971281252581</c:v>
                </c:pt>
                <c:pt idx="10">
                  <c:v>0.34635178502871239</c:v>
                </c:pt>
                <c:pt idx="11">
                  <c:v>0.30304359134218034</c:v>
                </c:pt>
                <c:pt idx="12">
                  <c:v>0.29457932782123736</c:v>
                </c:pt>
                <c:pt idx="13">
                  <c:v>0.28717309724041229</c:v>
                </c:pt>
                <c:pt idx="14">
                  <c:v>0.25678294914475647</c:v>
                </c:pt>
                <c:pt idx="15">
                  <c:v>0.25099276405723525</c:v>
                </c:pt>
                <c:pt idx="16">
                  <c:v>0.24581207213682146</c:v>
                </c:pt>
                <c:pt idx="17">
                  <c:v>0.22329573234133304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A0-452F-9D04-445C32DD5E23}"/>
            </c:ext>
          </c:extLst>
        </c:ser>
        <c:ser>
          <c:idx val="3"/>
          <c:order val="3"/>
          <c:tx>
            <c:strRef>
              <c:f>Results!$H$3</c:f>
              <c:strCache>
                <c:ptCount val="1"/>
                <c:pt idx="0">
                  <c:v>BEMU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Results!$H$4:$H$21</c:f>
              <c:numCache>
                <c:formatCode>General</c:formatCode>
                <c:ptCount val="18"/>
                <c:pt idx="0">
                  <c:v>1.2065701245927323</c:v>
                </c:pt>
                <c:pt idx="1">
                  <c:v>0.97702005212725429</c:v>
                </c:pt>
                <c:pt idx="2">
                  <c:v>0.83929000864796732</c:v>
                </c:pt>
                <c:pt idx="3">
                  <c:v>0.61275330354434787</c:v>
                </c:pt>
                <c:pt idx="4">
                  <c:v>0.5532256488132048</c:v>
                </c:pt>
                <c:pt idx="5">
                  <c:v>0.53771063666726582</c:v>
                </c:pt>
                <c:pt idx="6">
                  <c:v>0.43298535068340455</c:v>
                </c:pt>
                <c:pt idx="7">
                  <c:v>0.40467728194247504</c:v>
                </c:pt>
                <c:pt idx="8">
                  <c:v>0.34370594723162518</c:v>
                </c:pt>
                <c:pt idx="9">
                  <c:v>0.32524808737755367</c:v>
                </c:pt>
                <c:pt idx="10">
                  <c:v>0.30962989827026244</c:v>
                </c:pt>
                <c:pt idx="11">
                  <c:v>0.2724813949390123</c:v>
                </c:pt>
                <c:pt idx="12">
                  <c:v>0.26900080339184784</c:v>
                </c:pt>
                <c:pt idx="13">
                  <c:v>0.2586726035624744</c:v>
                </c:pt>
                <c:pt idx="14">
                  <c:v>0.23227581257627827</c:v>
                </c:pt>
                <c:pt idx="15">
                  <c:v>0.22440284781845832</c:v>
                </c:pt>
                <c:pt idx="16">
                  <c:v>0.21735861619304045</c:v>
                </c:pt>
                <c:pt idx="17">
                  <c:v>0.19851691047202216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A0-452F-9D04-445C32DD5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717160"/>
        <c:axId val="952718800"/>
      </c:scatterChart>
      <c:valAx>
        <c:axId val="952717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Length of line (km)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718800"/>
        <c:crosses val="autoZero"/>
        <c:crossBetween val="midCat"/>
      </c:valAx>
      <c:valAx>
        <c:axId val="95271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TCO (euro/km/train)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717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TCO per train over its lifetime, incl. CO2 costs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Results!$M$3</c:f>
              <c:strCache>
                <c:ptCount val="1"/>
                <c:pt idx="0">
                  <c:v>FC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Results!$M$4:$M$21</c:f>
              <c:numCache>
                <c:formatCode>General</c:formatCode>
                <c:ptCount val="18"/>
                <c:pt idx="0">
                  <c:v>1.9442456706903517</c:v>
                </c:pt>
                <c:pt idx="1">
                  <c:v>1.7475680825813762</c:v>
                </c:pt>
                <c:pt idx="2">
                  <c:v>1.6295615297159913</c:v>
                </c:pt>
                <c:pt idx="3">
                  <c:v>1.1688636715555349</c:v>
                </c:pt>
                <c:pt idx="4">
                  <c:v>1.113467349722848</c:v>
                </c:pt>
                <c:pt idx="5">
                  <c:v>1.0719201083483327</c:v>
                </c:pt>
                <c:pt idx="6">
                  <c:v>0.84140078354956571</c:v>
                </c:pt>
                <c:pt idx="7">
                  <c:v>0.8161283988945488</c:v>
                </c:pt>
                <c:pt idx="8">
                  <c:v>0.67716000070288251</c:v>
                </c:pt>
                <c:pt idx="9">
                  <c:v>0.66016578797455849</c:v>
                </c:pt>
                <c:pt idx="10">
                  <c:v>0.64578606951213058</c:v>
                </c:pt>
                <c:pt idx="11">
                  <c:v>0.55500614962422212</c:v>
                </c:pt>
                <c:pt idx="12">
                  <c:v>0.54442337000074481</c:v>
                </c:pt>
                <c:pt idx="13">
                  <c:v>0.53516343783020215</c:v>
                </c:pt>
                <c:pt idx="14">
                  <c:v>0.47114176511861505</c:v>
                </c:pt>
                <c:pt idx="15">
                  <c:v>0.46392774819495997</c:v>
                </c:pt>
                <c:pt idx="16">
                  <c:v>0.45747310147379494</c:v>
                </c:pt>
                <c:pt idx="17">
                  <c:v>0.40987412800437562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D9-44D0-833E-B3714AABA28E}"/>
            </c:ext>
          </c:extLst>
        </c:ser>
        <c:ser>
          <c:idx val="1"/>
          <c:order val="1"/>
          <c:tx>
            <c:strRef>
              <c:f>Results!$N$3</c:f>
              <c:strCache>
                <c:ptCount val="1"/>
                <c:pt idx="0">
                  <c:v>DMU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Results!$N$4:$N$21</c:f>
              <c:numCache>
                <c:formatCode>General</c:formatCode>
                <c:ptCount val="18"/>
                <c:pt idx="0">
                  <c:v>1.2201824009575117</c:v>
                </c:pt>
                <c:pt idx="1">
                  <c:v>1.0626703696724837</c:v>
                </c:pt>
                <c:pt idx="2">
                  <c:v>0.96816315090146665</c:v>
                </c:pt>
                <c:pt idx="3">
                  <c:v>0.71171308314240189</c:v>
                </c:pt>
                <c:pt idx="4">
                  <c:v>0.66678778761978241</c:v>
                </c:pt>
                <c:pt idx="5">
                  <c:v>0.63309381597781778</c:v>
                </c:pt>
                <c:pt idx="6">
                  <c:v>0.51025593161904992</c:v>
                </c:pt>
                <c:pt idx="7">
                  <c:v>0.48930902683888478</c:v>
                </c:pt>
                <c:pt idx="8">
                  <c:v>0.41421166370592272</c:v>
                </c:pt>
                <c:pt idx="9">
                  <c:v>0.39993714218187904</c:v>
                </c:pt>
                <c:pt idx="10">
                  <c:v>0.38785870089230368</c:v>
                </c:pt>
                <c:pt idx="11">
                  <c:v>0.33887921375642494</c:v>
                </c:pt>
                <c:pt idx="12">
                  <c:v>0.32990978304937874</c:v>
                </c:pt>
                <c:pt idx="13">
                  <c:v>0.32206153118071335</c:v>
                </c:pt>
                <c:pt idx="14">
                  <c:v>0.28755212906015154</c:v>
                </c:pt>
                <c:pt idx="15">
                  <c:v>0.28139816959428432</c:v>
                </c:pt>
                <c:pt idx="16">
                  <c:v>0.27589199533535053</c:v>
                </c:pt>
                <c:pt idx="17">
                  <c:v>0.25025118569800475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D9-44D0-833E-B3714AABA28E}"/>
            </c:ext>
          </c:extLst>
        </c:ser>
        <c:ser>
          <c:idx val="2"/>
          <c:order val="2"/>
          <c:tx>
            <c:strRef>
              <c:f>Results!$O$3</c:f>
              <c:strCache>
                <c:ptCount val="1"/>
                <c:pt idx="0">
                  <c:v>EMU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Results!$O$4:$O$21</c:f>
              <c:numCache>
                <c:formatCode>General</c:formatCode>
                <c:ptCount val="18"/>
                <c:pt idx="0">
                  <c:v>1.184801073959034</c:v>
                </c:pt>
                <c:pt idx="1">
                  <c:v>1.0300279759566033</c:v>
                </c:pt>
                <c:pt idx="2">
                  <c:v>0.93716411715514492</c:v>
                </c:pt>
                <c:pt idx="3">
                  <c:v>0.68384999485760578</c:v>
                </c:pt>
                <c:pt idx="4">
                  <c:v>0.64057889348347252</c:v>
                </c:pt>
                <c:pt idx="5">
                  <c:v>0.60812556745287283</c:v>
                </c:pt>
                <c:pt idx="6">
                  <c:v>0.48828973116733326</c:v>
                </c:pt>
                <c:pt idx="7">
                  <c:v>0.46831816673893556</c:v>
                </c:pt>
                <c:pt idx="8">
                  <c:v>0.39546294269390303</c:v>
                </c:pt>
                <c:pt idx="9">
                  <c:v>0.38193662812525814</c:v>
                </c:pt>
                <c:pt idx="10">
                  <c:v>0.37049128502871242</c:v>
                </c:pt>
                <c:pt idx="11">
                  <c:v>0.32315984134218034</c:v>
                </c:pt>
                <c:pt idx="12">
                  <c:v>0.31469557782123742</c:v>
                </c:pt>
                <c:pt idx="13">
                  <c:v>0.30728934724041229</c:v>
                </c:pt>
                <c:pt idx="14">
                  <c:v>0.27402544914475652</c:v>
                </c:pt>
                <c:pt idx="15">
                  <c:v>0.26823526405723525</c:v>
                </c:pt>
                <c:pt idx="16">
                  <c:v>0.26305457213682143</c:v>
                </c:pt>
                <c:pt idx="17">
                  <c:v>0.23838291984133306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D9-44D0-833E-B3714AABA28E}"/>
            </c:ext>
          </c:extLst>
        </c:ser>
        <c:ser>
          <c:idx val="3"/>
          <c:order val="3"/>
          <c:tx>
            <c:strRef>
              <c:f>Results!$P$3</c:f>
              <c:strCache>
                <c:ptCount val="1"/>
                <c:pt idx="0">
                  <c:v>BEMU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Results!$P$4:$P$21</c:f>
              <c:numCache>
                <c:formatCode>General</c:formatCode>
                <c:ptCount val="18"/>
                <c:pt idx="0">
                  <c:v>1.2813054187103792</c:v>
                </c:pt>
                <c:pt idx="1">
                  <c:v>1.0517553462449014</c:v>
                </c:pt>
                <c:pt idx="2">
                  <c:v>0.91402530276561444</c:v>
                </c:pt>
                <c:pt idx="3">
                  <c:v>0.66257683295611269</c:v>
                </c:pt>
                <c:pt idx="4">
                  <c:v>0.60304917822496951</c:v>
                </c:pt>
                <c:pt idx="5">
                  <c:v>0.58753416607903064</c:v>
                </c:pt>
                <c:pt idx="6">
                  <c:v>0.47035299774222811</c:v>
                </c:pt>
                <c:pt idx="7">
                  <c:v>0.4420449290012986</c:v>
                </c:pt>
                <c:pt idx="8">
                  <c:v>0.37360006487868402</c:v>
                </c:pt>
                <c:pt idx="9">
                  <c:v>0.35514220502461247</c:v>
                </c:pt>
                <c:pt idx="10">
                  <c:v>0.33952401591732123</c:v>
                </c:pt>
                <c:pt idx="11">
                  <c:v>0.2973931596448946</c:v>
                </c:pt>
                <c:pt idx="12">
                  <c:v>0.29391256809773025</c:v>
                </c:pt>
                <c:pt idx="13">
                  <c:v>0.2835843682683567</c:v>
                </c:pt>
                <c:pt idx="14">
                  <c:v>0.25362875375274879</c:v>
                </c:pt>
                <c:pt idx="15">
                  <c:v>0.24575578899492889</c:v>
                </c:pt>
                <c:pt idx="16">
                  <c:v>0.23871155736951105</c:v>
                </c:pt>
                <c:pt idx="17">
                  <c:v>0.21720073400143391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D9-44D0-833E-B3714AABA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12752"/>
        <c:axId val="719609800"/>
      </c:scatterChart>
      <c:valAx>
        <c:axId val="71961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Length of trajectory (km)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09800"/>
        <c:crosses val="autoZero"/>
        <c:crossBetween val="midCat"/>
      </c:valAx>
      <c:valAx>
        <c:axId val="719609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TCO</a:t>
                </a:r>
                <a:r>
                  <a:rPr lang="en-GB" sz="1600" baseline="0"/>
                  <a:t> per train per km over a train's lifetime (euro/km/train)</a:t>
                </a:r>
                <a:endParaRPr lang="en-GB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12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CO2 emissions of one train over its lifetime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Results!$I$3</c:f>
              <c:strCache>
                <c:ptCount val="1"/>
                <c:pt idx="0">
                  <c:v>FC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Results!$I$3:$I$21</c:f>
              <c:numCache>
                <c:formatCode>#,##0</c:formatCode>
                <c:ptCount val="19"/>
                <c:pt idx="0" formatCode="General">
                  <c:v>0</c:v>
                </c:pt>
                <c:pt idx="1">
                  <c:v>3525.7486422997395</c:v>
                </c:pt>
                <c:pt idx="2">
                  <c:v>4700.9981897329881</c:v>
                </c:pt>
                <c:pt idx="3" formatCode="General">
                  <c:v>5876.2477371662362</c:v>
                </c:pt>
                <c:pt idx="4" formatCode="General">
                  <c:v>4700.9981897329862</c:v>
                </c:pt>
                <c:pt idx="5" formatCode="General">
                  <c:v>5484.4978880218196</c:v>
                </c:pt>
                <c:pt idx="6" formatCode="General">
                  <c:v>6267.9975863106501</c:v>
                </c:pt>
                <c:pt idx="7" formatCode="General">
                  <c:v>5288.6229634496112</c:v>
                </c:pt>
                <c:pt idx="8" formatCode="General">
                  <c:v>5876.2477371662362</c:v>
                </c:pt>
                <c:pt idx="9">
                  <c:v>5171.0980087062853</c:v>
                </c:pt>
                <c:pt idx="10" formatCode="General">
                  <c:v>5641.1978276795835</c:v>
                </c:pt>
                <c:pt idx="11" formatCode="General">
                  <c:v>6111.2976466528817</c:v>
                </c:pt>
                <c:pt idx="12" formatCode="General">
                  <c:v>5484.4978880218196</c:v>
                </c:pt>
                <c:pt idx="13" formatCode="General">
                  <c:v>5876.2477371662344</c:v>
                </c:pt>
                <c:pt idx="14" formatCode="General">
                  <c:v>6267.9975863106501</c:v>
                </c:pt>
                <c:pt idx="15" formatCode="General">
                  <c:v>5708.3549446757697</c:v>
                </c:pt>
                <c:pt idx="16" formatCode="General">
                  <c:v>6044.1405296566982</c:v>
                </c:pt>
                <c:pt idx="17" formatCode="General">
                  <c:v>6379.9261146376266</c:v>
                </c:pt>
                <c:pt idx="18" formatCode="General">
                  <c:v>5876.2477371662362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B5-48D3-A0CD-D25C30AF519D}"/>
            </c:ext>
          </c:extLst>
        </c:ser>
        <c:ser>
          <c:idx val="1"/>
          <c:order val="1"/>
          <c:tx>
            <c:strRef>
              <c:f>Results!$J$3</c:f>
              <c:strCache>
                <c:ptCount val="1"/>
                <c:pt idx="0">
                  <c:v>DMU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Results!$J$3:$J$21</c:f>
              <c:numCache>
                <c:formatCode>#,##0</c:formatCode>
                <c:ptCount val="19"/>
                <c:pt idx="0" formatCode="General">
                  <c:v>0</c:v>
                </c:pt>
                <c:pt idx="1">
                  <c:v>21146.4774144</c:v>
                </c:pt>
                <c:pt idx="2">
                  <c:v>28195.303219199996</c:v>
                </c:pt>
                <c:pt idx="3" formatCode="General">
                  <c:v>35244.129023999994</c:v>
                </c:pt>
                <c:pt idx="4" formatCode="General">
                  <c:v>28195.303219199999</c:v>
                </c:pt>
                <c:pt idx="5" formatCode="General">
                  <c:v>32894.520422399997</c:v>
                </c:pt>
                <c:pt idx="6" formatCode="General">
                  <c:v>37593.737625599992</c:v>
                </c:pt>
                <c:pt idx="7" formatCode="General">
                  <c:v>31719.716121599999</c:v>
                </c:pt>
                <c:pt idx="8" formatCode="General">
                  <c:v>35244.129023999994</c:v>
                </c:pt>
                <c:pt idx="9">
                  <c:v>31014.833541120002</c:v>
                </c:pt>
                <c:pt idx="10" formatCode="General">
                  <c:v>33834.363863040002</c:v>
                </c:pt>
                <c:pt idx="11" formatCode="General">
                  <c:v>36653.894184959994</c:v>
                </c:pt>
                <c:pt idx="12" formatCode="General">
                  <c:v>32894.520422399997</c:v>
                </c:pt>
                <c:pt idx="13" formatCode="General">
                  <c:v>35244.129024000002</c:v>
                </c:pt>
                <c:pt idx="14" formatCode="General">
                  <c:v>37593.737625599992</c:v>
                </c:pt>
                <c:pt idx="15" formatCode="General">
                  <c:v>34237.153909028573</c:v>
                </c:pt>
                <c:pt idx="16" formatCode="General">
                  <c:v>36251.10413897143</c:v>
                </c:pt>
                <c:pt idx="17" formatCode="General">
                  <c:v>38265.05436891428</c:v>
                </c:pt>
                <c:pt idx="18" formatCode="General">
                  <c:v>35244.129023999994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B5-48D3-A0CD-D25C30AF519D}"/>
            </c:ext>
          </c:extLst>
        </c:ser>
        <c:ser>
          <c:idx val="2"/>
          <c:order val="2"/>
          <c:tx>
            <c:strRef>
              <c:f>Results!$K$3</c:f>
              <c:strCache>
                <c:ptCount val="1"/>
                <c:pt idx="0">
                  <c:v>EMU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Results!$K$3:$K$21</c:f>
              <c:numCache>
                <c:formatCode>#,##0</c:formatCode>
                <c:ptCount val="19"/>
                <c:pt idx="0" formatCode="General">
                  <c:v>0</c:v>
                </c:pt>
                <c:pt idx="1">
                  <c:v>6488.0392500000007</c:v>
                </c:pt>
                <c:pt idx="2">
                  <c:v>8650.719000000001</c:v>
                </c:pt>
                <c:pt idx="3" formatCode="General">
                  <c:v>10813.398750000002</c:v>
                </c:pt>
                <c:pt idx="4" formatCode="General">
                  <c:v>8650.719000000001</c:v>
                </c:pt>
                <c:pt idx="5" formatCode="General">
                  <c:v>10092.505500000001</c:v>
                </c:pt>
                <c:pt idx="6" formatCode="General">
                  <c:v>11534.292000000001</c:v>
                </c:pt>
                <c:pt idx="7" formatCode="General">
                  <c:v>9732.0588750000006</c:v>
                </c:pt>
                <c:pt idx="8" formatCode="General">
                  <c:v>10813.398750000002</c:v>
                </c:pt>
                <c:pt idx="9">
                  <c:v>9515.7909</c:v>
                </c:pt>
                <c:pt idx="10" formatCode="General">
                  <c:v>10380.862800000001</c:v>
                </c:pt>
                <c:pt idx="11" formatCode="General">
                  <c:v>11245.934700000002</c:v>
                </c:pt>
                <c:pt idx="12" formatCode="General">
                  <c:v>10092.505500000001</c:v>
                </c:pt>
                <c:pt idx="13" formatCode="General">
                  <c:v>10813.39875</c:v>
                </c:pt>
                <c:pt idx="14" formatCode="General">
                  <c:v>11534.292000000001</c:v>
                </c:pt>
                <c:pt idx="15" formatCode="General">
                  <c:v>10504.4445</c:v>
                </c:pt>
                <c:pt idx="16" formatCode="General">
                  <c:v>11122.353000000001</c:v>
                </c:pt>
                <c:pt idx="17" formatCode="General">
                  <c:v>11740.261500000002</c:v>
                </c:pt>
                <c:pt idx="18" formatCode="General">
                  <c:v>10813.398750000002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8B5-48D3-A0CD-D25C30AF519D}"/>
            </c:ext>
          </c:extLst>
        </c:ser>
        <c:ser>
          <c:idx val="3"/>
          <c:order val="3"/>
          <c:tx>
            <c:strRef>
              <c:f>Results!$L$3</c:f>
              <c:strCache>
                <c:ptCount val="1"/>
                <c:pt idx="0">
                  <c:v>BEMU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Results!$C$4:$C$21</c:f>
              <c:numCache>
                <c:formatCode>General</c:formatCode>
                <c:ptCount val="1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  <c:pt idx="10">
                  <c:v>130</c:v>
                </c:pt>
                <c:pt idx="11">
                  <c:v>140</c:v>
                </c:pt>
                <c:pt idx="12">
                  <c:v>150</c:v>
                </c:pt>
                <c:pt idx="13">
                  <c:v>160</c:v>
                </c:pt>
                <c:pt idx="14">
                  <c:v>170</c:v>
                </c:pt>
                <c:pt idx="15">
                  <c:v>180</c:v>
                </c:pt>
                <c:pt idx="16">
                  <c:v>190</c:v>
                </c:pt>
                <c:pt idx="17">
                  <c:v>200</c:v>
                </c:pt>
              </c:numCache>
            </c:numRef>
          </c:xVal>
          <c:yVal>
            <c:numRef>
              <c:f>Results!$L$3:$L$21</c:f>
              <c:numCache>
                <c:formatCode>#,##0</c:formatCode>
                <c:ptCount val="19"/>
                <c:pt idx="0" formatCode="General">
                  <c:v>0</c:v>
                </c:pt>
                <c:pt idx="1">
                  <c:v>8034.7235294117645</c:v>
                </c:pt>
                <c:pt idx="2">
                  <c:v>10712.964705882356</c:v>
                </c:pt>
                <c:pt idx="3" formatCode="General">
                  <c:v>13391.205882352941</c:v>
                </c:pt>
                <c:pt idx="4" formatCode="General">
                  <c:v>10712.964705882352</c:v>
                </c:pt>
                <c:pt idx="5" formatCode="General">
                  <c:v>12498.458823529414</c:v>
                </c:pt>
                <c:pt idx="6" formatCode="General">
                  <c:v>14283.952941176474</c:v>
                </c:pt>
                <c:pt idx="7" formatCode="General">
                  <c:v>12052.085294117645</c:v>
                </c:pt>
                <c:pt idx="8" formatCode="General">
                  <c:v>13391.205882352941</c:v>
                </c:pt>
                <c:pt idx="9">
                  <c:v>11784.261176470591</c:v>
                </c:pt>
                <c:pt idx="10" formatCode="General">
                  <c:v>12855.557647058824</c:v>
                </c:pt>
                <c:pt idx="11" formatCode="General">
                  <c:v>13926.854117647057</c:v>
                </c:pt>
                <c:pt idx="12" formatCode="General">
                  <c:v>12498.458823529414</c:v>
                </c:pt>
                <c:pt idx="13" formatCode="General">
                  <c:v>13391.205882352942</c:v>
                </c:pt>
                <c:pt idx="14" formatCode="General">
                  <c:v>14283.952941176474</c:v>
                </c:pt>
                <c:pt idx="15" formatCode="General">
                  <c:v>13008.6</c:v>
                </c:pt>
                <c:pt idx="16" formatCode="General">
                  <c:v>13773.811764705881</c:v>
                </c:pt>
                <c:pt idx="17" formatCode="General">
                  <c:v>14539.023529411768</c:v>
                </c:pt>
                <c:pt idx="18" formatCode="General">
                  <c:v>13391.205882352941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8B5-48D3-A0CD-D25C30AF5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876200"/>
        <c:axId val="788871280"/>
      </c:scatterChart>
      <c:valAx>
        <c:axId val="788876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Length of line (km)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871280"/>
        <c:crosses val="autoZero"/>
        <c:crossBetween val="midCat"/>
      </c:valAx>
      <c:valAx>
        <c:axId val="78887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CO2 emissions (tonnes/train)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876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TCO per km and per train</a:t>
            </a:r>
          </a:p>
          <a:p>
            <a:pPr>
              <a:defRPr sz="1800"/>
            </a:pPr>
            <a:r>
              <a:rPr lang="en-GB" sz="1800"/>
              <a:t>(Line of 100 km; 60 km/h on average)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Results!$E$52</c:f>
              <c:strCache>
                <c:ptCount val="1"/>
                <c:pt idx="0">
                  <c:v>FC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Results!$E$53:$E$60</c:f>
              <c:numCache>
                <c:formatCode>General</c:formatCode>
                <c:ptCount val="8"/>
                <c:pt idx="0">
                  <c:v>0.2802547156532364</c:v>
                </c:pt>
                <c:pt idx="1">
                  <c:v>0.52967857658269624</c:v>
                </c:pt>
                <c:pt idx="2">
                  <c:v>0.52967857658269624</c:v>
                </c:pt>
                <c:pt idx="3">
                  <c:v>0.79973095467617517</c:v>
                </c:pt>
                <c:pt idx="4">
                  <c:v>1.1139427332235223</c:v>
                </c:pt>
                <c:pt idx="5">
                  <c:v>1.6082061330966426</c:v>
                </c:pt>
                <c:pt idx="6">
                  <c:v>1.7319324318707274</c:v>
                </c:pt>
                <c:pt idx="7">
                  <c:v>1.8556587306448125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DE-40D3-AE36-41BB71CE301C}"/>
            </c:ext>
          </c:extLst>
        </c:ser>
        <c:ser>
          <c:idx val="1"/>
          <c:order val="1"/>
          <c:tx>
            <c:strRef>
              <c:f>Results!$F$52</c:f>
              <c:strCache>
                <c:ptCount val="1"/>
                <c:pt idx="0">
                  <c:v>DMU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Results!$F$53:$F$60</c:f>
              <c:numCache>
                <c:formatCode>General</c:formatCode>
                <c:ptCount val="8"/>
                <c:pt idx="0">
                  <c:v>0.13600399762375445</c:v>
                </c:pt>
                <c:pt idx="1">
                  <c:v>0.26053169111024582</c:v>
                </c:pt>
                <c:pt idx="2">
                  <c:v>0.26053169111024582</c:v>
                </c:pt>
                <c:pt idx="3">
                  <c:v>0.39096163483888474</c:v>
                </c:pt>
                <c:pt idx="4">
                  <c:v>0.55485526618526781</c:v>
                </c:pt>
                <c:pt idx="5">
                  <c:v>0.78290785871886548</c:v>
                </c:pt>
                <c:pt idx="6">
                  <c:v>0.88313482339858174</c:v>
                </c:pt>
                <c:pt idx="7">
                  <c:v>0.9833617880782981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DE-40D3-AE36-41BB71CE301C}"/>
            </c:ext>
          </c:extLst>
        </c:ser>
        <c:ser>
          <c:idx val="2"/>
          <c:order val="2"/>
          <c:tx>
            <c:strRef>
              <c:f>Results!$G$52</c:f>
              <c:strCache>
                <c:ptCount val="1"/>
                <c:pt idx="0">
                  <c:v>EMU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Results!$G$53:$G$60</c:f>
              <c:numCache>
                <c:formatCode>General</c:formatCode>
                <c:ptCount val="8"/>
                <c:pt idx="0">
                  <c:v>0.11530983952834063</c:v>
                </c:pt>
                <c:pt idx="1">
                  <c:v>0.25689305942300306</c:v>
                </c:pt>
                <c:pt idx="2">
                  <c:v>0.25689305942300306</c:v>
                </c:pt>
                <c:pt idx="3">
                  <c:v>0.43814379173893553</c:v>
                </c:pt>
                <c:pt idx="4">
                  <c:v>0.72066678318171629</c:v>
                </c:pt>
                <c:pt idx="5">
                  <c:v>1.1931127991044566</c:v>
                </c:pt>
                <c:pt idx="6">
                  <c:v>1.4441253738805708</c:v>
                </c:pt>
                <c:pt idx="7">
                  <c:v>1.6951379486566849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DE-40D3-AE36-41BB71CE301C}"/>
            </c:ext>
          </c:extLst>
        </c:ser>
        <c:ser>
          <c:idx val="3"/>
          <c:order val="3"/>
          <c:tx>
            <c:strRef>
              <c:f>Results!$H$52</c:f>
              <c:strCache>
                <c:ptCount val="1"/>
                <c:pt idx="0">
                  <c:v>BEMU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Results!$H$53:$H$60</c:f>
              <c:numCache>
                <c:formatCode>General</c:formatCode>
                <c:ptCount val="8"/>
                <c:pt idx="0">
                  <c:v>0.12405636275596112</c:v>
                </c:pt>
                <c:pt idx="1">
                  <c:v>0.25445986449358532</c:v>
                </c:pt>
                <c:pt idx="2">
                  <c:v>0.25445986449358532</c:v>
                </c:pt>
                <c:pt idx="3">
                  <c:v>0.40467728194247504</c:v>
                </c:pt>
                <c:pt idx="4">
                  <c:v>0.62063930757960317</c:v>
                </c:pt>
                <c:pt idx="5">
                  <c:v>0.94727947509753252</c:v>
                </c:pt>
                <c:pt idx="6">
                  <c:v>1.121525814460151</c:v>
                </c:pt>
                <c:pt idx="7">
                  <c:v>1.2957721538227696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DE-40D3-AE36-41BB71CE3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959440"/>
        <c:axId val="626960096"/>
      </c:scatterChart>
      <c:valAx>
        <c:axId val="626959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aseline="0"/>
                  <a:t>Number of train rides per day between A and 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960096"/>
        <c:crosses val="autoZero"/>
        <c:crossBetween val="midCat"/>
      </c:valAx>
      <c:valAx>
        <c:axId val="6269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TCO per km and per train (euro/km/train)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959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TCO per km per train versus number of train rides</a:t>
            </a:r>
          </a:p>
          <a:p>
            <a:pPr>
              <a:defRPr sz="1800"/>
            </a:pPr>
            <a:r>
              <a:rPr lang="en-GB" sz="1800"/>
              <a:t>(TCO includes CO2 costs)</a:t>
            </a:r>
          </a:p>
          <a:p>
            <a:pPr>
              <a:defRPr sz="1800"/>
            </a:pPr>
            <a:r>
              <a:rPr lang="en-GB" sz="1800"/>
              <a:t>(L=100 km; 60 km/h on average)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Results!$M$52</c:f>
              <c:strCache>
                <c:ptCount val="1"/>
                <c:pt idx="0">
                  <c:v>FC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Results!$M$53:$M$60</c:f>
              <c:numCache>
                <c:formatCode>General</c:formatCode>
                <c:ptCount val="8"/>
                <c:pt idx="0">
                  <c:v>0.28621742264173589</c:v>
                </c:pt>
                <c:pt idx="1">
                  <c:v>0.54061020606161192</c:v>
                </c:pt>
                <c:pt idx="2">
                  <c:v>0.54061020606161192</c:v>
                </c:pt>
                <c:pt idx="3">
                  <c:v>0.8161283988945488</c:v>
                </c:pt>
                <c:pt idx="4">
                  <c:v>1.1358059921813537</c:v>
                </c:pt>
                <c:pt idx="5">
                  <c:v>1.6410010215333899</c:v>
                </c:pt>
                <c:pt idx="6">
                  <c:v>1.7647273203074745</c:v>
                </c:pt>
                <c:pt idx="7">
                  <c:v>1.8884536190815595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45-467D-9B93-7696DF2DD616}"/>
            </c:ext>
          </c:extLst>
        </c:ser>
        <c:ser>
          <c:idx val="1"/>
          <c:order val="1"/>
          <c:tx>
            <c:strRef>
              <c:f>Results!$N$52</c:f>
              <c:strCache>
                <c:ptCount val="1"/>
                <c:pt idx="0">
                  <c:v>DMU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Results!$N$53:$N$60</c:f>
              <c:numCache>
                <c:formatCode>General</c:formatCode>
                <c:ptCount val="8"/>
                <c:pt idx="0">
                  <c:v>0.17176668562375447</c:v>
                </c:pt>
                <c:pt idx="1">
                  <c:v>0.32609661911024579</c:v>
                </c:pt>
                <c:pt idx="2">
                  <c:v>0.32609661911024579</c:v>
                </c:pt>
                <c:pt idx="3">
                  <c:v>0.48930902683888478</c:v>
                </c:pt>
                <c:pt idx="4">
                  <c:v>0.68598512218526775</c:v>
                </c:pt>
                <c:pt idx="5">
                  <c:v>0.97960264271886544</c:v>
                </c:pt>
                <c:pt idx="6">
                  <c:v>1.0798296073985818</c:v>
                </c:pt>
                <c:pt idx="7">
                  <c:v>1.1800565720782981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45-467D-9B93-7696DF2DD616}"/>
            </c:ext>
          </c:extLst>
        </c:ser>
        <c:ser>
          <c:idx val="2"/>
          <c:order val="2"/>
          <c:tx>
            <c:strRef>
              <c:f>Results!$O$52</c:f>
              <c:strCache>
                <c:ptCount val="1"/>
                <c:pt idx="0">
                  <c:v>EMU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Results!$O$53:$O$60</c:f>
              <c:numCache>
                <c:formatCode>General</c:formatCode>
                <c:ptCount val="8"/>
                <c:pt idx="0">
                  <c:v>0.12628233952834061</c:v>
                </c:pt>
                <c:pt idx="1">
                  <c:v>0.27700930942300306</c:v>
                </c:pt>
                <c:pt idx="2">
                  <c:v>0.27700930942300306</c:v>
                </c:pt>
                <c:pt idx="3">
                  <c:v>0.46831816673893556</c:v>
                </c:pt>
                <c:pt idx="4">
                  <c:v>0.76089928318171618</c:v>
                </c:pt>
                <c:pt idx="5">
                  <c:v>1.2534615491044567</c:v>
                </c:pt>
                <c:pt idx="6">
                  <c:v>1.5044741238805708</c:v>
                </c:pt>
                <c:pt idx="7">
                  <c:v>1.7554866986566848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45-467D-9B93-7696DF2DD616}"/>
            </c:ext>
          </c:extLst>
        </c:ser>
        <c:ser>
          <c:idx val="3"/>
          <c:order val="3"/>
          <c:tx>
            <c:strRef>
              <c:f>Results!$P$52</c:f>
              <c:strCache>
                <c:ptCount val="1"/>
                <c:pt idx="0">
                  <c:v>BEMU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Results!$P$53:$P$60</c:f>
              <c:numCache>
                <c:formatCode>General</c:formatCode>
                <c:ptCount val="8"/>
                <c:pt idx="0">
                  <c:v>0.13764459805007875</c:v>
                </c:pt>
                <c:pt idx="1">
                  <c:v>0.27937162919946773</c:v>
                </c:pt>
                <c:pt idx="2">
                  <c:v>0.27937162919946773</c:v>
                </c:pt>
                <c:pt idx="3">
                  <c:v>0.4420449290012986</c:v>
                </c:pt>
                <c:pt idx="4">
                  <c:v>0.67046283699136799</c:v>
                </c:pt>
                <c:pt idx="5">
                  <c:v>1.0220147692151795</c:v>
                </c:pt>
                <c:pt idx="6">
                  <c:v>1.1962611085777981</c:v>
                </c:pt>
                <c:pt idx="7">
                  <c:v>1.3705074479404165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45-467D-9B93-7696DF2DD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314328"/>
        <c:axId val="634313344"/>
      </c:scatterChart>
      <c:valAx>
        <c:axId val="634314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Number of train rides</a:t>
                </a:r>
                <a:r>
                  <a:rPr lang="en-GB" sz="1600" baseline="0"/>
                  <a:t> per day</a:t>
                </a:r>
                <a:endParaRPr lang="en-GB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313344"/>
        <c:crosses val="autoZero"/>
        <c:crossBetween val="midCat"/>
      </c:valAx>
      <c:valAx>
        <c:axId val="63431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TCO per km per train (euro/km/train)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314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CO2 emissions per physical train over its lifetime versus</a:t>
            </a:r>
            <a:r>
              <a:rPr lang="en-GB" sz="1800" baseline="0"/>
              <a:t> number of train rides</a:t>
            </a:r>
          </a:p>
          <a:p>
            <a:pPr>
              <a:defRPr sz="1800"/>
            </a:pPr>
            <a:r>
              <a:rPr lang="en-GB" sz="1800" baseline="0"/>
              <a:t>(L = 100 km; 60 km/h on average)</a:t>
            </a:r>
            <a:endParaRPr lang="en-GB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Results!$I$52</c:f>
              <c:strCache>
                <c:ptCount val="1"/>
                <c:pt idx="0">
                  <c:v>FC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Results!$I$53:$I$60</c:f>
              <c:numCache>
                <c:formatCode>General</c:formatCode>
                <c:ptCount val="8"/>
                <c:pt idx="0">
                  <c:v>6410.4520769086184</c:v>
                </c:pt>
                <c:pt idx="1">
                  <c:v>5876.2477371662344</c:v>
                </c:pt>
                <c:pt idx="2">
                  <c:v>5876.2477371662344</c:v>
                </c:pt>
                <c:pt idx="3">
                  <c:v>5876.2477371662362</c:v>
                </c:pt>
                <c:pt idx="4">
                  <c:v>5223.3313219255424</c:v>
                </c:pt>
                <c:pt idx="5">
                  <c:v>5876.2477371662362</c:v>
                </c:pt>
                <c:pt idx="6">
                  <c:v>4700.9981897329881</c:v>
                </c:pt>
                <c:pt idx="7">
                  <c:v>3917.4984914441561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43-44C3-819B-F4D9CD0FA579}"/>
            </c:ext>
          </c:extLst>
        </c:ser>
        <c:ser>
          <c:idx val="1"/>
          <c:order val="1"/>
          <c:tx>
            <c:strRef>
              <c:f>Results!$J$52</c:f>
              <c:strCache>
                <c:ptCount val="1"/>
                <c:pt idx="0">
                  <c:v>DMU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Results!$J$53:$J$60</c:f>
              <c:numCache>
                <c:formatCode>General</c:formatCode>
                <c:ptCount val="8"/>
                <c:pt idx="0">
                  <c:v>38448.140753454543</c:v>
                </c:pt>
                <c:pt idx="1">
                  <c:v>35244.129024000002</c:v>
                </c:pt>
                <c:pt idx="2">
                  <c:v>35244.129024000002</c:v>
                </c:pt>
                <c:pt idx="3">
                  <c:v>35244.129023999994</c:v>
                </c:pt>
                <c:pt idx="4">
                  <c:v>31328.114687999998</c:v>
                </c:pt>
                <c:pt idx="5">
                  <c:v>35244.129023999994</c:v>
                </c:pt>
                <c:pt idx="6">
                  <c:v>28195.303219199996</c:v>
                </c:pt>
                <c:pt idx="7">
                  <c:v>23496.086015999997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43-44C3-819B-F4D9CD0FA579}"/>
            </c:ext>
          </c:extLst>
        </c:ser>
        <c:ser>
          <c:idx val="2"/>
          <c:order val="2"/>
          <c:tx>
            <c:strRef>
              <c:f>Results!$K$52</c:f>
              <c:strCache>
                <c:ptCount val="1"/>
                <c:pt idx="0">
                  <c:v>EMU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Results!$K$53:$K$60</c:f>
              <c:numCache>
                <c:formatCode>General</c:formatCode>
                <c:ptCount val="8"/>
                <c:pt idx="0">
                  <c:v>11796.434999999999</c:v>
                </c:pt>
                <c:pt idx="1">
                  <c:v>10813.39875</c:v>
                </c:pt>
                <c:pt idx="2">
                  <c:v>10813.39875</c:v>
                </c:pt>
                <c:pt idx="3">
                  <c:v>10813.398750000002</c:v>
                </c:pt>
                <c:pt idx="4">
                  <c:v>9611.91</c:v>
                </c:pt>
                <c:pt idx="5">
                  <c:v>10813.398750000002</c:v>
                </c:pt>
                <c:pt idx="6">
                  <c:v>8650.719000000001</c:v>
                </c:pt>
                <c:pt idx="7">
                  <c:v>7208.9324999999999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43-44C3-819B-F4D9CD0FA579}"/>
            </c:ext>
          </c:extLst>
        </c:ser>
        <c:ser>
          <c:idx val="3"/>
          <c:order val="3"/>
          <c:tx>
            <c:strRef>
              <c:f>Results!$L$52</c:f>
              <c:strCache>
                <c:ptCount val="1"/>
                <c:pt idx="0">
                  <c:v>BEMU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Results!$Q$53:$Q$60</c:f>
              <c:numCache>
                <c:formatCode>General</c:formatCode>
                <c:ptCount val="8"/>
                <c:pt idx="0">
                  <c:v>216</c:v>
                </c:pt>
                <c:pt idx="1">
                  <c:v>144</c:v>
                </c:pt>
                <c:pt idx="2">
                  <c:v>108</c:v>
                </c:pt>
                <c:pt idx="3">
                  <c:v>72</c:v>
                </c:pt>
                <c:pt idx="4">
                  <c:v>48</c:v>
                </c:pt>
                <c:pt idx="5">
                  <c:v>36</c:v>
                </c:pt>
                <c:pt idx="6">
                  <c:v>30</c:v>
                </c:pt>
                <c:pt idx="7">
                  <c:v>24</c:v>
                </c:pt>
              </c:numCache>
            </c:numRef>
          </c:xVal>
          <c:yVal>
            <c:numRef>
              <c:f>Results!$L$53:$L$60</c:f>
              <c:numCache>
                <c:formatCode>General</c:formatCode>
                <c:ptCount val="8"/>
                <c:pt idx="0">
                  <c:v>14608.588235294119</c:v>
                </c:pt>
                <c:pt idx="1">
                  <c:v>13391.205882352942</c:v>
                </c:pt>
                <c:pt idx="2">
                  <c:v>13391.205882352942</c:v>
                </c:pt>
                <c:pt idx="3">
                  <c:v>13391.205882352941</c:v>
                </c:pt>
                <c:pt idx="4">
                  <c:v>11903.294117647061</c:v>
                </c:pt>
                <c:pt idx="5">
                  <c:v>13391.205882352941</c:v>
                </c:pt>
                <c:pt idx="6">
                  <c:v>10712.964705882356</c:v>
                </c:pt>
                <c:pt idx="7">
                  <c:v>8927.4705882352955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43-44C3-819B-F4D9CD0FA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660336"/>
        <c:axId val="626665256"/>
      </c:scatterChart>
      <c:valAx>
        <c:axId val="62666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Number of train rides per day, between</a:t>
                </a:r>
                <a:r>
                  <a:rPr lang="en-GB" sz="1600" baseline="0"/>
                  <a:t> A and B</a:t>
                </a:r>
                <a:endParaRPr lang="en-GB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665256"/>
        <c:crosses val="autoZero"/>
        <c:crossBetween val="midCat"/>
      </c:valAx>
      <c:valAx>
        <c:axId val="626665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CO2 perphysical</a:t>
                </a:r>
                <a:r>
                  <a:rPr lang="en-GB" sz="1600" baseline="0"/>
                  <a:t> train (tonne/train)</a:t>
                </a:r>
                <a:endParaRPr lang="en-GB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660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712" cy="60806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78</xdr:row>
      <xdr:rowOff>123825</xdr:rowOff>
    </xdr:from>
    <xdr:to>
      <xdr:col>15</xdr:col>
      <xdr:colOff>361950</xdr:colOff>
      <xdr:row>105</xdr:row>
      <xdr:rowOff>66675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hydrogenics.com/wp-content/uploads/HyPM-HD-Brochure.pdf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https://www.iea.org/publications/freepublications/publication/TechnologyRoadmapHydrogenandFuelCells.pdf" TargetMode="External"/><Relationship Id="rId7" Type="http://schemas.openxmlformats.org/officeDocument/2006/relationships/hyperlink" Target="https://www.akasol.com/library/Downloads/Brosch%C3%BCren/AKASOL_rail_applications_brochure_18.pdf.pdf" TargetMode="External"/><Relationship Id="rId12" Type="http://schemas.openxmlformats.org/officeDocument/2006/relationships/hyperlink" Target="http://www.eetimes.com/author.asp?section_id=36&amp;doc_id=1325358" TargetMode="External"/><Relationship Id="rId2" Type="http://schemas.openxmlformats.org/officeDocument/2006/relationships/hyperlink" Target="https://www.energuide.be/en/questions-answers/what-exactly-is-a-tonne-of-co2/2141/" TargetMode="External"/><Relationship Id="rId1" Type="http://schemas.openxmlformats.org/officeDocument/2006/relationships/hyperlink" Target="https://www.aib-net.org/facts/european-residual-mix" TargetMode="External"/><Relationship Id="rId6" Type="http://schemas.openxmlformats.org/officeDocument/2006/relationships/hyperlink" Target="https://www.fch.europa.eu/sites/default/files/171121_FCH2JU_Application-Package_WG1_Trains%20%28ID%202910561%29%20%28ID%202911647%29.pdf" TargetMode="External"/><Relationship Id="rId11" Type="http://schemas.openxmlformats.org/officeDocument/2006/relationships/hyperlink" Target="https://www.fch.europa.eu/publications/use-fuel-cells-and-hydrogen-railway-environment" TargetMode="External"/><Relationship Id="rId5" Type="http://schemas.openxmlformats.org/officeDocument/2006/relationships/hyperlink" Target="https://www.hexagonxperion.com/fileadmin/user_upload/xperion_Energy___Environment/Datenblaetter_-_xperion_EE/Hexagon_xperion_Datenblaetter/HPU_0218_11_Broschuere-Train_Digital-220x305mm.pdf" TargetMode="External"/><Relationship Id="rId10" Type="http://schemas.openxmlformats.org/officeDocument/2006/relationships/hyperlink" Target="https://www.apta.com/wp-content/uploads/Realize-your-vision-with-Bombardier-TALENT-3-BEMU_Yves_Lappierre.pdf" TargetMode="External"/><Relationship Id="rId4" Type="http://schemas.openxmlformats.org/officeDocument/2006/relationships/hyperlink" Target="http://www.metrolinx.com/en/news/announcements/hydrail-resources/CPG-PGM-RPT-245_HydrailFeasibilityReport_R1.pdf" TargetMode="External"/><Relationship Id="rId9" Type="http://schemas.openxmlformats.org/officeDocument/2006/relationships/hyperlink" Target="https://shift2rail.org/wp-content/uploads/2019/05/FCH-HydrogenTrain-Study-Workshop.pdf" TargetMode="External"/><Relationship Id="rId1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workbookViewId="0">
      <selection activeCell="B7" sqref="B7"/>
    </sheetView>
  </sheetViews>
  <sheetFormatPr baseColWidth="10" defaultColWidth="9.140625" defaultRowHeight="15" x14ac:dyDescent="0.25"/>
  <cols>
    <col min="2" max="2" width="118.42578125" bestFit="1" customWidth="1"/>
    <col min="3" max="3" width="194.42578125" bestFit="1" customWidth="1"/>
  </cols>
  <sheetData>
    <row r="1" spans="1:3" ht="30" x14ac:dyDescent="0.25">
      <c r="A1" s="17" t="s">
        <v>328</v>
      </c>
      <c r="B1" s="18" t="s">
        <v>329</v>
      </c>
      <c r="C1" s="18" t="s">
        <v>330</v>
      </c>
    </row>
    <row r="2" spans="1:3" x14ac:dyDescent="0.25">
      <c r="A2" t="s">
        <v>280</v>
      </c>
      <c r="B2" t="s">
        <v>298</v>
      </c>
      <c r="C2" s="5"/>
    </row>
    <row r="3" spans="1:3" x14ac:dyDescent="0.25">
      <c r="A3" t="s">
        <v>281</v>
      </c>
      <c r="B3" t="s">
        <v>300</v>
      </c>
      <c r="C3" s="5" t="s">
        <v>299</v>
      </c>
    </row>
    <row r="4" spans="1:3" x14ac:dyDescent="0.25">
      <c r="A4" t="s">
        <v>282</v>
      </c>
      <c r="B4" t="s">
        <v>402</v>
      </c>
      <c r="C4" s="5" t="s">
        <v>301</v>
      </c>
    </row>
    <row r="5" spans="1:3" x14ac:dyDescent="0.25">
      <c r="A5" t="s">
        <v>283</v>
      </c>
      <c r="B5" t="s">
        <v>302</v>
      </c>
    </row>
    <row r="6" spans="1:3" x14ac:dyDescent="0.25">
      <c r="A6" t="s">
        <v>284</v>
      </c>
      <c r="B6" t="s">
        <v>303</v>
      </c>
    </row>
    <row r="7" spans="1:3" x14ac:dyDescent="0.25">
      <c r="A7" t="s">
        <v>285</v>
      </c>
      <c r="B7" t="s">
        <v>304</v>
      </c>
    </row>
    <row r="8" spans="1:3" x14ac:dyDescent="0.25">
      <c r="A8" t="s">
        <v>286</v>
      </c>
      <c r="B8" t="s">
        <v>304</v>
      </c>
    </row>
    <row r="9" spans="1:3" x14ac:dyDescent="0.25">
      <c r="A9" t="s">
        <v>287</v>
      </c>
      <c r="B9" t="s">
        <v>312</v>
      </c>
      <c r="C9" s="5" t="s">
        <v>313</v>
      </c>
    </row>
    <row r="10" spans="1:3" ht="33" customHeight="1" x14ac:dyDescent="0.25">
      <c r="A10" t="s">
        <v>288</v>
      </c>
      <c r="B10" s="3" t="s">
        <v>315</v>
      </c>
      <c r="C10" s="5" t="s">
        <v>314</v>
      </c>
    </row>
    <row r="11" spans="1:3" x14ac:dyDescent="0.25">
      <c r="A11" t="s">
        <v>289</v>
      </c>
      <c r="B11" s="3" t="s">
        <v>317</v>
      </c>
      <c r="C11" s="5" t="s">
        <v>316</v>
      </c>
    </row>
    <row r="12" spans="1:3" x14ac:dyDescent="0.25">
      <c r="A12" t="s">
        <v>290</v>
      </c>
      <c r="B12" t="s">
        <v>323</v>
      </c>
      <c r="C12" s="5" t="s">
        <v>320</v>
      </c>
    </row>
    <row r="13" spans="1:3" x14ac:dyDescent="0.25">
      <c r="A13" t="s">
        <v>291</v>
      </c>
      <c r="B13" t="s">
        <v>322</v>
      </c>
      <c r="C13" s="5" t="s">
        <v>321</v>
      </c>
    </row>
    <row r="14" spans="1:3" ht="18" customHeight="1" x14ac:dyDescent="0.25">
      <c r="A14" t="s">
        <v>292</v>
      </c>
      <c r="B14" s="3" t="s">
        <v>319</v>
      </c>
      <c r="C14" s="5" t="s">
        <v>318</v>
      </c>
    </row>
    <row r="15" spans="1:3" x14ac:dyDescent="0.25">
      <c r="A15" t="s">
        <v>293</v>
      </c>
      <c r="B15" s="3" t="s">
        <v>326</v>
      </c>
      <c r="C15" s="5" t="s">
        <v>327</v>
      </c>
    </row>
    <row r="16" spans="1:3" x14ac:dyDescent="0.25">
      <c r="A16" t="s">
        <v>294</v>
      </c>
      <c r="B16" s="3" t="s">
        <v>331</v>
      </c>
      <c r="C16" s="5" t="s">
        <v>332</v>
      </c>
    </row>
    <row r="17" spans="1:3" x14ac:dyDescent="0.25">
      <c r="A17" t="s">
        <v>295</v>
      </c>
      <c r="B17" s="3" t="s">
        <v>334</v>
      </c>
      <c r="C17" s="5" t="s">
        <v>333</v>
      </c>
    </row>
    <row r="18" spans="1:3" x14ac:dyDescent="0.25">
      <c r="A18" t="s">
        <v>296</v>
      </c>
      <c r="B18" s="3" t="s">
        <v>337</v>
      </c>
    </row>
    <row r="19" spans="1:3" x14ac:dyDescent="0.25">
      <c r="A19" t="s">
        <v>297</v>
      </c>
      <c r="B19" s="3" t="s">
        <v>345</v>
      </c>
      <c r="C19" s="5" t="s">
        <v>344</v>
      </c>
    </row>
  </sheetData>
  <hyperlinks>
    <hyperlink ref="C3" r:id="rId1" xr:uid="{00000000-0004-0000-0000-000000000000}"/>
    <hyperlink ref="C4" r:id="rId2" xr:uid="{00000000-0004-0000-0000-000001000000}"/>
    <hyperlink ref="C9" r:id="rId3" xr:uid="{00000000-0004-0000-0000-000002000000}"/>
    <hyperlink ref="C10" r:id="rId4" xr:uid="{00000000-0004-0000-0000-000003000000}"/>
    <hyperlink ref="C11" r:id="rId5" xr:uid="{00000000-0004-0000-0000-000004000000}"/>
    <hyperlink ref="C14" r:id="rId6" xr:uid="{00000000-0004-0000-0000-000005000000}"/>
    <hyperlink ref="C12" r:id="rId7" xr:uid="{00000000-0004-0000-0000-000006000000}"/>
    <hyperlink ref="C13" r:id="rId8" xr:uid="{00000000-0004-0000-0000-000007000000}"/>
    <hyperlink ref="C15" r:id="rId9" xr:uid="{00000000-0004-0000-0000-000008000000}"/>
    <hyperlink ref="C16" r:id="rId10" xr:uid="{00000000-0004-0000-0000-000009000000}"/>
    <hyperlink ref="C17" r:id="rId11" xr:uid="{00000000-0004-0000-0000-00000A000000}"/>
    <hyperlink ref="C19" r:id="rId12" xr:uid="{00000000-0004-0000-0000-00000B000000}"/>
  </hyperlinks>
  <pageMargins left="0.7" right="0.7" top="0.75" bottom="0.75" header="0.3" footer="0.3"/>
  <legacy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N30"/>
  <sheetViews>
    <sheetView topLeftCell="B1" workbookViewId="0">
      <selection activeCell="D21" sqref="D21"/>
    </sheetView>
  </sheetViews>
  <sheetFormatPr baseColWidth="10" defaultColWidth="9.140625" defaultRowHeight="15" x14ac:dyDescent="0.25"/>
  <cols>
    <col min="3" max="3" width="35" bestFit="1" customWidth="1"/>
    <col min="4" max="4" width="12.85546875" customWidth="1"/>
    <col min="5" max="5" width="11.140625" bestFit="1" customWidth="1"/>
    <col min="11" max="11" width="54.28515625" customWidth="1"/>
  </cols>
  <sheetData>
    <row r="1" spans="3:13" x14ac:dyDescent="0.25">
      <c r="C1" s="2" t="s">
        <v>227</v>
      </c>
      <c r="K1" s="2" t="s">
        <v>226</v>
      </c>
    </row>
    <row r="3" spans="3:13" x14ac:dyDescent="0.25">
      <c r="C3" t="s">
        <v>82</v>
      </c>
      <c r="D3">
        <v>1.4</v>
      </c>
      <c r="E3" t="s">
        <v>47</v>
      </c>
      <c r="K3" t="s">
        <v>220</v>
      </c>
      <c r="L3" s="6">
        <v>50</v>
      </c>
      <c r="M3" t="s">
        <v>0</v>
      </c>
    </row>
    <row r="4" spans="3:13" ht="15" customHeight="1" x14ac:dyDescent="0.25">
      <c r="C4" t="s">
        <v>81</v>
      </c>
      <c r="D4">
        <v>4124</v>
      </c>
      <c r="E4" t="s">
        <v>80</v>
      </c>
      <c r="K4" s="3" t="s">
        <v>214</v>
      </c>
      <c r="L4" s="6">
        <v>60</v>
      </c>
      <c r="M4" t="s">
        <v>215</v>
      </c>
    </row>
    <row r="5" spans="3:13" x14ac:dyDescent="0.25">
      <c r="C5" t="s">
        <v>103</v>
      </c>
      <c r="D5">
        <v>0.95</v>
      </c>
      <c r="E5" t="s">
        <v>47</v>
      </c>
      <c r="K5" t="s">
        <v>216</v>
      </c>
      <c r="L5" s="6">
        <v>30</v>
      </c>
      <c r="M5" t="s">
        <v>217</v>
      </c>
    </row>
    <row r="6" spans="3:13" x14ac:dyDescent="0.25">
      <c r="C6" t="s">
        <v>106</v>
      </c>
      <c r="D6">
        <v>14500</v>
      </c>
      <c r="E6" t="s">
        <v>80</v>
      </c>
      <c r="K6" t="s">
        <v>218</v>
      </c>
      <c r="L6" s="6">
        <v>6</v>
      </c>
      <c r="M6" t="s">
        <v>9</v>
      </c>
    </row>
    <row r="7" spans="3:13" ht="30" x14ac:dyDescent="0.25">
      <c r="C7" s="3" t="s">
        <v>115</v>
      </c>
      <c r="D7">
        <v>0.95</v>
      </c>
      <c r="E7" t="s">
        <v>47</v>
      </c>
      <c r="K7" t="s">
        <v>219</v>
      </c>
      <c r="L7" s="6">
        <v>23</v>
      </c>
      <c r="M7" t="s">
        <v>9</v>
      </c>
    </row>
    <row r="8" spans="3:13" x14ac:dyDescent="0.25">
      <c r="C8" t="s">
        <v>164</v>
      </c>
      <c r="D8">
        <f>3.582*0.832</f>
        <v>2.9802239999999998</v>
      </c>
      <c r="E8" t="s">
        <v>165</v>
      </c>
      <c r="F8" t="s">
        <v>280</v>
      </c>
      <c r="K8" t="s">
        <v>223</v>
      </c>
      <c r="L8">
        <f>($L$7-$L$6+1)*60/$L$5</f>
        <v>36</v>
      </c>
      <c r="M8" t="s">
        <v>47</v>
      </c>
    </row>
    <row r="9" spans="3:13" x14ac:dyDescent="0.25">
      <c r="C9" t="s">
        <v>306</v>
      </c>
      <c r="D9" s="6">
        <v>0.23100000000000001</v>
      </c>
      <c r="E9" t="s">
        <v>166</v>
      </c>
      <c r="F9" t="s">
        <v>281</v>
      </c>
      <c r="K9" t="s">
        <v>224</v>
      </c>
      <c r="L9">
        <f>$L$8</f>
        <v>36</v>
      </c>
      <c r="M9" t="s">
        <v>47</v>
      </c>
    </row>
    <row r="10" spans="3:13" ht="30" x14ac:dyDescent="0.25">
      <c r="C10" s="3" t="s">
        <v>305</v>
      </c>
      <c r="D10">
        <f>(11+27)/2*0.001</f>
        <v>1.9E-2</v>
      </c>
      <c r="E10" t="s">
        <v>166</v>
      </c>
      <c r="F10" t="s">
        <v>282</v>
      </c>
      <c r="K10" t="s">
        <v>225</v>
      </c>
      <c r="L10">
        <f>$L$8+$L$9</f>
        <v>72</v>
      </c>
      <c r="M10" t="s">
        <v>47</v>
      </c>
    </row>
    <row r="11" spans="3:13" x14ac:dyDescent="0.25">
      <c r="C11" s="2" t="s">
        <v>228</v>
      </c>
    </row>
    <row r="12" spans="3:13" x14ac:dyDescent="0.25">
      <c r="C12" t="s">
        <v>403</v>
      </c>
      <c r="D12">
        <v>0.9</v>
      </c>
      <c r="E12" t="s">
        <v>36</v>
      </c>
      <c r="K12" t="s">
        <v>121</v>
      </c>
      <c r="L12">
        <f>L10*L3</f>
        <v>3600</v>
      </c>
      <c r="M12" t="s">
        <v>135</v>
      </c>
    </row>
    <row r="13" spans="3:13" x14ac:dyDescent="0.25">
      <c r="C13" t="s">
        <v>65</v>
      </c>
      <c r="D13">
        <v>50000</v>
      </c>
      <c r="E13" t="s">
        <v>13</v>
      </c>
      <c r="K13" t="s">
        <v>221</v>
      </c>
      <c r="L13" s="6">
        <v>190</v>
      </c>
      <c r="M13" t="s">
        <v>222</v>
      </c>
    </row>
    <row r="14" spans="3:13" x14ac:dyDescent="0.25">
      <c r="C14" t="s">
        <v>66</v>
      </c>
      <c r="D14" s="6">
        <v>80</v>
      </c>
      <c r="E14" t="s">
        <v>5</v>
      </c>
      <c r="F14" t="s">
        <v>283</v>
      </c>
      <c r="K14" t="s">
        <v>16</v>
      </c>
      <c r="L14">
        <f>$L$10*$L$13*$L$3</f>
        <v>684000</v>
      </c>
      <c r="M14" t="s">
        <v>245</v>
      </c>
    </row>
    <row r="15" spans="3:13" x14ac:dyDescent="0.25">
      <c r="C15" t="s">
        <v>67</v>
      </c>
      <c r="D15" s="6">
        <v>2.71</v>
      </c>
      <c r="E15" t="s">
        <v>68</v>
      </c>
      <c r="F15" t="s">
        <v>286</v>
      </c>
      <c r="K15" s="3"/>
    </row>
    <row r="16" spans="3:13" x14ac:dyDescent="0.25">
      <c r="C16" t="s">
        <v>154</v>
      </c>
      <c r="D16" s="6">
        <v>0.7</v>
      </c>
      <c r="E16" t="s">
        <v>155</v>
      </c>
      <c r="F16" t="s">
        <v>285</v>
      </c>
    </row>
    <row r="17" spans="3:14" x14ac:dyDescent="0.25">
      <c r="C17" t="s">
        <v>231</v>
      </c>
      <c r="D17">
        <v>1720</v>
      </c>
      <c r="E17" t="s">
        <v>230</v>
      </c>
      <c r="K17" t="s">
        <v>229</v>
      </c>
      <c r="L17">
        <f>$L$10*$L$3/$D$30</f>
        <v>900</v>
      </c>
      <c r="M17" t="s">
        <v>135</v>
      </c>
    </row>
    <row r="18" spans="3:14" x14ac:dyDescent="0.25">
      <c r="C18" t="s">
        <v>232</v>
      </c>
      <c r="D18">
        <v>8</v>
      </c>
      <c r="E18" t="s">
        <v>233</v>
      </c>
      <c r="K18" t="s">
        <v>278</v>
      </c>
      <c r="L18" s="6">
        <v>15</v>
      </c>
      <c r="M18" t="s">
        <v>20</v>
      </c>
    </row>
    <row r="19" spans="3:14" x14ac:dyDescent="0.25">
      <c r="K19" t="s">
        <v>234</v>
      </c>
      <c r="L19">
        <f>((($L$7*60+$L$3/$L$4*60-$L$6*60))/(24*60))*100*(1-$L$18/100)</f>
        <v>63.159722222222221</v>
      </c>
      <c r="M19" t="s">
        <v>20</v>
      </c>
      <c r="N19" t="s">
        <v>237</v>
      </c>
    </row>
    <row r="20" spans="3:14" x14ac:dyDescent="0.25">
      <c r="C20" t="s">
        <v>255</v>
      </c>
      <c r="D20">
        <v>200</v>
      </c>
      <c r="E20" t="s">
        <v>256</v>
      </c>
      <c r="F20" t="s">
        <v>284</v>
      </c>
      <c r="K20" t="s">
        <v>236</v>
      </c>
      <c r="L20">
        <f>$L$17*365</f>
        <v>328500</v>
      </c>
      <c r="M20" t="s">
        <v>366</v>
      </c>
    </row>
    <row r="21" spans="3:14" x14ac:dyDescent="0.25">
      <c r="K21" t="s">
        <v>235</v>
      </c>
      <c r="L21">
        <f>24*365*$L$19/100</f>
        <v>5532.7916666666661</v>
      </c>
      <c r="M21" t="s">
        <v>9</v>
      </c>
      <c r="N21" t="s">
        <v>237</v>
      </c>
    </row>
    <row r="23" spans="3:14" x14ac:dyDescent="0.25">
      <c r="K23" t="s">
        <v>257</v>
      </c>
      <c r="L23" s="6">
        <v>1</v>
      </c>
      <c r="M23" t="s">
        <v>47</v>
      </c>
    </row>
    <row r="24" spans="3:14" x14ac:dyDescent="0.25">
      <c r="K24" t="s">
        <v>258</v>
      </c>
      <c r="L24" s="6">
        <v>1</v>
      </c>
      <c r="M24" t="s">
        <v>47</v>
      </c>
    </row>
    <row r="25" spans="3:14" x14ac:dyDescent="0.25">
      <c r="C25" s="2" t="s">
        <v>346</v>
      </c>
    </row>
    <row r="26" spans="3:14" x14ac:dyDescent="0.25">
      <c r="K26" t="s">
        <v>259</v>
      </c>
      <c r="L26" s="12">
        <f>$L$21/$D$17*$L$23*$D$13</f>
        <v>160836.96705426357</v>
      </c>
      <c r="M26" t="s">
        <v>262</v>
      </c>
    </row>
    <row r="27" spans="3:14" x14ac:dyDescent="0.25">
      <c r="C27" t="s">
        <v>307</v>
      </c>
      <c r="D27" s="6">
        <f>MAX(6,0.1*L3/L4*60)</f>
        <v>6</v>
      </c>
      <c r="E27" t="s">
        <v>217</v>
      </c>
      <c r="K27" t="s">
        <v>260</v>
      </c>
      <c r="L27" s="12">
        <f>$L$21/$D$17*$L$24*$D$13</f>
        <v>160836.96705426357</v>
      </c>
      <c r="M27" t="s">
        <v>262</v>
      </c>
    </row>
    <row r="28" spans="3:14" x14ac:dyDescent="0.25">
      <c r="C28" t="s">
        <v>308</v>
      </c>
      <c r="D28">
        <f>CEILING(D29*L5,1)-L3/L4*60</f>
        <v>10</v>
      </c>
      <c r="E28" t="s">
        <v>217</v>
      </c>
      <c r="K28" t="s">
        <v>261</v>
      </c>
      <c r="L28" s="12">
        <f>$L$26+$L$27</f>
        <v>321673.93410852714</v>
      </c>
      <c r="M28" t="s">
        <v>262</v>
      </c>
    </row>
    <row r="29" spans="3:14" x14ac:dyDescent="0.25">
      <c r="C29" t="s">
        <v>309</v>
      </c>
      <c r="D29" s="6">
        <v>2</v>
      </c>
      <c r="E29" s="4" t="s">
        <v>310</v>
      </c>
      <c r="F29" s="4"/>
      <c r="G29" s="4"/>
      <c r="H29" s="4"/>
      <c r="I29" s="4"/>
      <c r="J29" s="4"/>
    </row>
    <row r="30" spans="3:14" x14ac:dyDescent="0.25">
      <c r="C30" t="s">
        <v>311</v>
      </c>
      <c r="D30">
        <f>2*D29</f>
        <v>4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4:AF89"/>
  <sheetViews>
    <sheetView workbookViewId="0">
      <selection activeCell="L69" sqref="L69"/>
    </sheetView>
  </sheetViews>
  <sheetFormatPr baseColWidth="10" defaultColWidth="9.140625" defaultRowHeight="15" x14ac:dyDescent="0.25"/>
  <cols>
    <col min="4" max="4" width="48" bestFit="1" customWidth="1"/>
    <col min="5" max="5" width="12.5703125" bestFit="1" customWidth="1"/>
    <col min="6" max="6" width="13.85546875" bestFit="1" customWidth="1"/>
    <col min="7" max="7" width="14.140625" bestFit="1" customWidth="1"/>
    <col min="9" max="9" width="14.7109375" bestFit="1" customWidth="1"/>
    <col min="14" max="14" width="52.28515625" bestFit="1" customWidth="1"/>
    <col min="16" max="16" width="10.5703125" bestFit="1" customWidth="1"/>
    <col min="23" max="23" width="35.7109375" customWidth="1"/>
    <col min="30" max="30" width="35.5703125" bestFit="1" customWidth="1"/>
  </cols>
  <sheetData>
    <row r="4" spans="4:8" x14ac:dyDescent="0.25">
      <c r="F4" s="2" t="s">
        <v>55</v>
      </c>
    </row>
    <row r="6" spans="4:8" x14ac:dyDescent="0.25">
      <c r="D6" t="s">
        <v>19</v>
      </c>
      <c r="F6" s="6">
        <v>60</v>
      </c>
      <c r="G6" t="s">
        <v>20</v>
      </c>
      <c r="H6" t="s">
        <v>287</v>
      </c>
    </row>
    <row r="8" spans="4:8" x14ac:dyDescent="0.25">
      <c r="D8" t="s">
        <v>14</v>
      </c>
      <c r="F8" s="8">
        <f>0.28*3/2</f>
        <v>0.42000000000000004</v>
      </c>
      <c r="G8" t="s">
        <v>270</v>
      </c>
    </row>
    <row r="10" spans="4:8" x14ac:dyDescent="0.25">
      <c r="D10" t="s">
        <v>15</v>
      </c>
      <c r="F10">
        <f>F8*General!L12</f>
        <v>1512.0000000000002</v>
      </c>
      <c r="G10" t="s">
        <v>18</v>
      </c>
    </row>
    <row r="12" spans="4:8" x14ac:dyDescent="0.25">
      <c r="D12" t="s">
        <v>17</v>
      </c>
      <c r="F12">
        <f>F10/24/3600*141.7</f>
        <v>2.4797500000000001</v>
      </c>
      <c r="G12" t="s">
        <v>2</v>
      </c>
    </row>
    <row r="13" spans="4:8" x14ac:dyDescent="0.25">
      <c r="D13" t="s">
        <v>21</v>
      </c>
      <c r="F13">
        <f>F12/(F6/100)</f>
        <v>4.1329166666666675</v>
      </c>
      <c r="G13" t="s">
        <v>2</v>
      </c>
    </row>
    <row r="15" spans="4:8" x14ac:dyDescent="0.25">
      <c r="D15" t="s">
        <v>22</v>
      </c>
      <c r="F15">
        <f>F12*24*3600*1000000/3600000/1000</f>
        <v>59.51400000000001</v>
      </c>
      <c r="G15" t="s">
        <v>23</v>
      </c>
    </row>
    <row r="16" spans="4:8" x14ac:dyDescent="0.25">
      <c r="D16" t="s">
        <v>24</v>
      </c>
      <c r="F16">
        <f>F15/(F6/100)</f>
        <v>99.190000000000026</v>
      </c>
      <c r="G16" t="s">
        <v>23</v>
      </c>
    </row>
    <row r="20" spans="4:32" x14ac:dyDescent="0.25">
      <c r="D20" s="2" t="s">
        <v>25</v>
      </c>
      <c r="N20" s="2" t="s">
        <v>61</v>
      </c>
      <c r="W20" s="2" t="s">
        <v>109</v>
      </c>
      <c r="AD20" s="2" t="s">
        <v>104</v>
      </c>
    </row>
    <row r="21" spans="4:32" ht="30" x14ac:dyDescent="0.25">
      <c r="D21" s="3" t="s">
        <v>26</v>
      </c>
      <c r="F21" s="6">
        <v>2600</v>
      </c>
      <c r="G21" t="s">
        <v>32</v>
      </c>
      <c r="H21">
        <f>F21*General!$D$12</f>
        <v>2340</v>
      </c>
      <c r="I21" t="s">
        <v>7</v>
      </c>
      <c r="J21" t="s">
        <v>287</v>
      </c>
      <c r="N21" t="s">
        <v>62</v>
      </c>
      <c r="P21">
        <f>General!D15</f>
        <v>2.71</v>
      </c>
      <c r="Q21" t="str">
        <f>General!E15</f>
        <v>euro/m³</v>
      </c>
      <c r="W21" t="s">
        <v>83</v>
      </c>
      <c r="X21" s="6">
        <v>1</v>
      </c>
      <c r="Y21" t="s">
        <v>89</v>
      </c>
      <c r="AD21" t="s">
        <v>105</v>
      </c>
      <c r="AE21">
        <f>X22*100000*X28/General!D4</f>
        <v>684.55466466491919</v>
      </c>
      <c r="AF21" t="s">
        <v>90</v>
      </c>
    </row>
    <row r="22" spans="4:32" x14ac:dyDescent="0.25">
      <c r="D22" t="s">
        <v>27</v>
      </c>
      <c r="F22" s="15">
        <v>10000</v>
      </c>
      <c r="G22" t="s">
        <v>33</v>
      </c>
      <c r="H22">
        <f>F22*General!$D$12</f>
        <v>9000</v>
      </c>
      <c r="I22" t="s">
        <v>6</v>
      </c>
      <c r="J22" t="s">
        <v>287</v>
      </c>
      <c r="N22" t="s">
        <v>63</v>
      </c>
      <c r="P22">
        <f>General!D14</f>
        <v>80</v>
      </c>
      <c r="Q22" t="str">
        <f>General!E14</f>
        <v>euro/MWh</v>
      </c>
      <c r="W22" t="s">
        <v>84</v>
      </c>
      <c r="X22" s="6">
        <f>SQRT(X21*X23)</f>
        <v>19.493588689617926</v>
      </c>
      <c r="Y22" t="s">
        <v>89</v>
      </c>
      <c r="AD22" t="s">
        <v>324</v>
      </c>
      <c r="AE22">
        <f>1-X24/AE21</f>
        <v>0.57198451033356146</v>
      </c>
      <c r="AF22" t="s">
        <v>47</v>
      </c>
    </row>
    <row r="23" spans="4:32" x14ac:dyDescent="0.25">
      <c r="D23" t="s">
        <v>28</v>
      </c>
      <c r="F23" s="6">
        <v>0.8</v>
      </c>
      <c r="G23" t="s">
        <v>34</v>
      </c>
      <c r="H23">
        <f>F23*General!$D$12</f>
        <v>0.72000000000000008</v>
      </c>
      <c r="I23" t="s">
        <v>29</v>
      </c>
      <c r="J23" t="s">
        <v>288</v>
      </c>
      <c r="N23" t="s">
        <v>64</v>
      </c>
      <c r="P23">
        <f>General!L28</f>
        <v>321673.93410852714</v>
      </c>
      <c r="Q23" t="s">
        <v>262</v>
      </c>
      <c r="W23" t="s">
        <v>85</v>
      </c>
      <c r="X23" s="6">
        <v>380</v>
      </c>
      <c r="Y23" t="s">
        <v>89</v>
      </c>
      <c r="AD23" t="s">
        <v>111</v>
      </c>
      <c r="AE23" s="16">
        <f>F10/(3600*24)*General!D6*(AE21-X25)</f>
        <v>96819.496158723254</v>
      </c>
      <c r="AF23" t="s">
        <v>99</v>
      </c>
    </row>
    <row r="24" spans="4:32" x14ac:dyDescent="0.25">
      <c r="D24" s="3" t="s">
        <v>30</v>
      </c>
      <c r="F24" s="6">
        <v>70</v>
      </c>
      <c r="G24" t="s">
        <v>35</v>
      </c>
      <c r="H24">
        <f>F24*General!$D$12</f>
        <v>63</v>
      </c>
      <c r="I24" t="s">
        <v>8</v>
      </c>
      <c r="J24" t="s">
        <v>287</v>
      </c>
      <c r="N24" t="s">
        <v>69</v>
      </c>
      <c r="P24" s="6">
        <f>0.72*General!L20</f>
        <v>236520</v>
      </c>
      <c r="Q24" t="s">
        <v>238</v>
      </c>
      <c r="S24" t="s">
        <v>292</v>
      </c>
      <c r="W24" t="s">
        <v>86</v>
      </c>
      <c r="X24" s="6">
        <v>293</v>
      </c>
      <c r="Y24" t="s">
        <v>90</v>
      </c>
      <c r="AD24" t="s">
        <v>107</v>
      </c>
      <c r="AE24" s="16">
        <f>AE23/AE22</f>
        <v>169269.43721301385</v>
      </c>
      <c r="AF24" t="s">
        <v>99</v>
      </c>
    </row>
    <row r="25" spans="4:32" ht="34.5" customHeight="1" x14ac:dyDescent="0.25">
      <c r="D25" s="3" t="s">
        <v>31</v>
      </c>
      <c r="F25" s="6">
        <v>300</v>
      </c>
      <c r="G25" t="s">
        <v>35</v>
      </c>
      <c r="H25">
        <f>F25*General!$D$12</f>
        <v>270</v>
      </c>
      <c r="I25" t="s">
        <v>8</v>
      </c>
      <c r="J25" t="s">
        <v>287</v>
      </c>
      <c r="N25" s="3" t="s">
        <v>70</v>
      </c>
      <c r="P25" s="6">
        <v>180000</v>
      </c>
      <c r="Q25" t="s">
        <v>13</v>
      </c>
      <c r="S25" t="s">
        <v>292</v>
      </c>
      <c r="W25" t="s">
        <v>92</v>
      </c>
      <c r="X25" s="6">
        <f>303</f>
        <v>303</v>
      </c>
      <c r="Y25" t="s">
        <v>90</v>
      </c>
    </row>
    <row r="26" spans="4:32" x14ac:dyDescent="0.25">
      <c r="D26" s="3" t="s">
        <v>56</v>
      </c>
      <c r="H26" s="9">
        <v>7.5</v>
      </c>
      <c r="I26" t="s">
        <v>57</v>
      </c>
      <c r="J26" t="s">
        <v>292</v>
      </c>
      <c r="W26" t="s">
        <v>108</v>
      </c>
      <c r="X26">
        <f>X23*100000*X30/General!D4</f>
        <v>707.91830509716897</v>
      </c>
      <c r="AD26" t="s">
        <v>325</v>
      </c>
      <c r="AE26">
        <f>1-X24/X26</f>
        <v>0.58611043408492902</v>
      </c>
      <c r="AF26" t="s">
        <v>47</v>
      </c>
    </row>
    <row r="27" spans="4:32" x14ac:dyDescent="0.25">
      <c r="D27" s="3"/>
      <c r="W27" t="s">
        <v>87</v>
      </c>
      <c r="X27">
        <f>General!D4*HydrogenFC!X24/(HydrogenFC!X21*100000)</f>
        <v>12.083320000000001</v>
      </c>
      <c r="Y27" t="s">
        <v>91</v>
      </c>
      <c r="AD27" t="s">
        <v>110</v>
      </c>
      <c r="AE27" s="16">
        <f>F10/(3600*24)*General!D6*(X26-X25)</f>
        <v>102748.01991840664</v>
      </c>
      <c r="AF27" t="s">
        <v>99</v>
      </c>
    </row>
    <row r="28" spans="4:32" x14ac:dyDescent="0.25">
      <c r="D28" s="3"/>
      <c r="W28" t="s">
        <v>93</v>
      </c>
      <c r="X28">
        <f>X27*((X21/X22)^(1/General!D3))</f>
        <v>1.4482215060696755</v>
      </c>
      <c r="Y28" t="s">
        <v>91</v>
      </c>
      <c r="AD28" t="s">
        <v>112</v>
      </c>
      <c r="AE28" s="16">
        <f>AE27/AE26</f>
        <v>175304.88103120541</v>
      </c>
      <c r="AF28" t="s">
        <v>99</v>
      </c>
    </row>
    <row r="29" spans="4:32" x14ac:dyDescent="0.25">
      <c r="D29" s="3" t="s">
        <v>37</v>
      </c>
      <c r="F29" s="6">
        <v>50000</v>
      </c>
      <c r="G29" t="s">
        <v>9</v>
      </c>
      <c r="H29" t="s">
        <v>287</v>
      </c>
      <c r="W29" t="s">
        <v>94</v>
      </c>
      <c r="X29">
        <f>X25/(X22*100000)*General!D4</f>
        <v>0.64101691068587507</v>
      </c>
      <c r="Y29" t="s">
        <v>91</v>
      </c>
      <c r="AE29" s="16"/>
    </row>
    <row r="30" spans="4:32" x14ac:dyDescent="0.25">
      <c r="D30" t="s">
        <v>38</v>
      </c>
      <c r="F30" s="6">
        <v>20</v>
      </c>
      <c r="G30" t="s">
        <v>10</v>
      </c>
      <c r="H30" t="s">
        <v>287</v>
      </c>
      <c r="W30" t="s">
        <v>88</v>
      </c>
      <c r="X30">
        <f>X29*((X22/X23)^(1/General!D3))</f>
        <v>7.6827765532124337E-2</v>
      </c>
      <c r="Y30" t="s">
        <v>91</v>
      </c>
      <c r="AD30" t="s">
        <v>113</v>
      </c>
      <c r="AE30" s="16">
        <f>AE24+AE28</f>
        <v>344574.31824421929</v>
      </c>
      <c r="AF30" t="s">
        <v>99</v>
      </c>
    </row>
    <row r="31" spans="4:32" ht="30" x14ac:dyDescent="0.25">
      <c r="D31" t="s">
        <v>39</v>
      </c>
      <c r="F31" s="6">
        <v>10</v>
      </c>
      <c r="G31" t="s">
        <v>10</v>
      </c>
      <c r="H31" t="s">
        <v>287</v>
      </c>
      <c r="N31" t="s">
        <v>116</v>
      </c>
      <c r="P31">
        <f>X40/1000</f>
        <v>211.77377873374184</v>
      </c>
      <c r="Q31" t="s">
        <v>71</v>
      </c>
      <c r="AD31" s="3" t="s">
        <v>114</v>
      </c>
      <c r="AE31" s="16">
        <f>AE30/General!D7</f>
        <v>362709.80867812561</v>
      </c>
      <c r="AF31" t="s">
        <v>99</v>
      </c>
    </row>
    <row r="32" spans="4:32" x14ac:dyDescent="0.25">
      <c r="D32" s="3" t="s">
        <v>40</v>
      </c>
      <c r="F32" s="6">
        <v>20</v>
      </c>
      <c r="G32" t="s">
        <v>10</v>
      </c>
      <c r="H32" t="s">
        <v>287</v>
      </c>
      <c r="N32" t="s">
        <v>117</v>
      </c>
      <c r="P32">
        <f>AE31/1000</f>
        <v>362.70980867812563</v>
      </c>
      <c r="Q32" t="s">
        <v>71</v>
      </c>
    </row>
    <row r="33" spans="4:25" x14ac:dyDescent="0.25">
      <c r="D33" s="3" t="s">
        <v>41</v>
      </c>
      <c r="F33" s="6">
        <v>20</v>
      </c>
      <c r="G33" t="s">
        <v>10</v>
      </c>
      <c r="H33" t="s">
        <v>287</v>
      </c>
      <c r="N33" t="s">
        <v>77</v>
      </c>
      <c r="P33">
        <f>9*F10*365/1000</f>
        <v>4966.920000000001</v>
      </c>
      <c r="Q33" t="s">
        <v>78</v>
      </c>
      <c r="W33" t="s">
        <v>95</v>
      </c>
      <c r="X33" s="16">
        <f>(X22*100000*X28-X21*100000*X27)*General!D3/(General!D3-1)</f>
        <v>5651700.0297734449</v>
      </c>
      <c r="Y33" t="s">
        <v>96</v>
      </c>
    </row>
    <row r="34" spans="4:25" x14ac:dyDescent="0.25">
      <c r="D34" s="3" t="s">
        <v>58</v>
      </c>
      <c r="F34" s="6">
        <v>30</v>
      </c>
      <c r="G34" t="s">
        <v>10</v>
      </c>
      <c r="W34" t="s">
        <v>97</v>
      </c>
      <c r="X34" s="16">
        <f>(X23*100000*X30-X22*100000*X29)*General!D3/(General!D3-1)</f>
        <v>5844590.8157725381</v>
      </c>
      <c r="Y34" t="s">
        <v>96</v>
      </c>
    </row>
    <row r="35" spans="4:25" x14ac:dyDescent="0.25">
      <c r="D35" s="3"/>
      <c r="X35" s="16"/>
    </row>
    <row r="36" spans="4:25" x14ac:dyDescent="0.25">
      <c r="D36" s="3"/>
      <c r="N36" t="s">
        <v>72</v>
      </c>
      <c r="P36" s="12">
        <f>P33*P21</f>
        <v>13460.353200000003</v>
      </c>
      <c r="Q36" t="s">
        <v>13</v>
      </c>
      <c r="X36" s="16"/>
    </row>
    <row r="37" spans="4:25" ht="30" x14ac:dyDescent="0.25">
      <c r="D37" s="3" t="s">
        <v>42</v>
      </c>
      <c r="F37" s="15">
        <v>1</v>
      </c>
      <c r="G37" t="s">
        <v>47</v>
      </c>
      <c r="N37" t="s">
        <v>73</v>
      </c>
      <c r="P37" s="12">
        <f>P22*F16*365</f>
        <v>2896348.0000000009</v>
      </c>
      <c r="Q37" t="s">
        <v>13</v>
      </c>
      <c r="W37" t="s">
        <v>98</v>
      </c>
      <c r="X37" s="16">
        <f>X33*F10/(3600*24)</f>
        <v>98904.750521035312</v>
      </c>
      <c r="Y37" t="s">
        <v>99</v>
      </c>
    </row>
    <row r="38" spans="4:25" x14ac:dyDescent="0.25">
      <c r="D38" s="3" t="s">
        <v>43</v>
      </c>
      <c r="F38" s="15">
        <v>1</v>
      </c>
      <c r="G38" t="s">
        <v>47</v>
      </c>
      <c r="N38" t="s">
        <v>74</v>
      </c>
      <c r="P38" s="12">
        <f>P22*P31*1000*3600*24*365/3600000/1000</f>
        <v>148411.06413660629</v>
      </c>
      <c r="Q38" t="s">
        <v>13</v>
      </c>
      <c r="W38" t="s">
        <v>100</v>
      </c>
      <c r="X38" s="16">
        <f>X34*F10/(3600*24)</f>
        <v>102280.33927601943</v>
      </c>
      <c r="Y38" t="s">
        <v>99</v>
      </c>
    </row>
    <row r="39" spans="4:25" x14ac:dyDescent="0.25">
      <c r="D39" s="3" t="s">
        <v>44</v>
      </c>
      <c r="F39" s="15">
        <f>IF($F$42&lt;=4,1,2)</f>
        <v>1</v>
      </c>
      <c r="G39" t="s">
        <v>47</v>
      </c>
      <c r="N39" t="s">
        <v>75</v>
      </c>
      <c r="P39" s="12">
        <f>P22*P32/1000*24*365</f>
        <v>254187.03392163047</v>
      </c>
      <c r="Q39" t="s">
        <v>13</v>
      </c>
      <c r="W39" t="s">
        <v>101</v>
      </c>
      <c r="X39" s="16">
        <f>X37+X38</f>
        <v>201185.08979705474</v>
      </c>
      <c r="Y39" t="s">
        <v>99</v>
      </c>
    </row>
    <row r="40" spans="4:25" x14ac:dyDescent="0.25">
      <c r="D40" s="3" t="s">
        <v>45</v>
      </c>
      <c r="F40" s="15">
        <f t="shared" ref="F40:F41" si="0">IF($F$42&lt;=4,1,2)</f>
        <v>1</v>
      </c>
      <c r="G40" t="s">
        <v>47</v>
      </c>
      <c r="N40" t="s">
        <v>264</v>
      </c>
      <c r="P40" s="12">
        <f>P24*F42</f>
        <v>946080</v>
      </c>
      <c r="Q40" t="s">
        <v>13</v>
      </c>
      <c r="W40" t="s">
        <v>102</v>
      </c>
      <c r="X40" s="16">
        <f>X39/General!D5</f>
        <v>211773.77873374184</v>
      </c>
      <c r="Y40" t="s">
        <v>99</v>
      </c>
    </row>
    <row r="41" spans="4:25" x14ac:dyDescent="0.25">
      <c r="D41" s="3" t="s">
        <v>46</v>
      </c>
      <c r="F41" s="15">
        <f t="shared" si="0"/>
        <v>1</v>
      </c>
      <c r="G41" t="s">
        <v>47</v>
      </c>
      <c r="N41" t="s">
        <v>76</v>
      </c>
      <c r="P41" s="12">
        <f>P25</f>
        <v>180000</v>
      </c>
      <c r="Q41" t="s">
        <v>13</v>
      </c>
    </row>
    <row r="42" spans="4:25" x14ac:dyDescent="0.25">
      <c r="D42" s="3" t="s">
        <v>59</v>
      </c>
      <c r="F42">
        <f>General!D30</f>
        <v>4</v>
      </c>
      <c r="G42" t="s">
        <v>47</v>
      </c>
      <c r="N42" t="s">
        <v>263</v>
      </c>
      <c r="P42" s="12">
        <f>P23*F42</f>
        <v>1286695.7364341086</v>
      </c>
      <c r="Q42" t="s">
        <v>13</v>
      </c>
    </row>
    <row r="45" spans="4:25" x14ac:dyDescent="0.25">
      <c r="D45" s="3" t="s">
        <v>48</v>
      </c>
      <c r="F45" s="12">
        <f>F37*H21*F13*1000</f>
        <v>9671025.0000000019</v>
      </c>
      <c r="G45" t="s">
        <v>53</v>
      </c>
    </row>
    <row r="46" spans="4:25" x14ac:dyDescent="0.25">
      <c r="D46" s="3" t="s">
        <v>49</v>
      </c>
      <c r="F46" s="12">
        <f>F38*H22*F15</f>
        <v>535626.00000000012</v>
      </c>
      <c r="G46" t="s">
        <v>53</v>
      </c>
      <c r="H46" t="s">
        <v>54</v>
      </c>
    </row>
    <row r="47" spans="4:25" x14ac:dyDescent="0.25">
      <c r="D47" s="3" t="s">
        <v>50</v>
      </c>
      <c r="F47" s="13">
        <f>F39*H23</f>
        <v>0.72000000000000008</v>
      </c>
      <c r="G47" t="s">
        <v>4</v>
      </c>
    </row>
    <row r="48" spans="4:25" x14ac:dyDescent="0.25">
      <c r="D48" s="3" t="s">
        <v>51</v>
      </c>
      <c r="F48" s="12">
        <f>F40*H24*F12*1000</f>
        <v>156224.25</v>
      </c>
      <c r="G48" t="s">
        <v>53</v>
      </c>
    </row>
    <row r="49" spans="4:13" x14ac:dyDescent="0.25">
      <c r="D49" s="3" t="s">
        <v>52</v>
      </c>
      <c r="F49" s="12">
        <f>F41*H25*F12*1000</f>
        <v>669532.5</v>
      </c>
      <c r="G49" t="s">
        <v>53</v>
      </c>
    </row>
    <row r="50" spans="4:13" x14ac:dyDescent="0.25">
      <c r="D50" s="3" t="s">
        <v>60</v>
      </c>
      <c r="F50" s="14">
        <f>H26*F42</f>
        <v>30</v>
      </c>
      <c r="G50" t="s">
        <v>4</v>
      </c>
    </row>
    <row r="51" spans="4:13" ht="30" x14ac:dyDescent="0.25">
      <c r="D51" s="3" t="s">
        <v>79</v>
      </c>
      <c r="F51" s="11">
        <f>0.1*(F45+F46+F47*1000000+F48+F49)</f>
        <v>1175240.7750000001</v>
      </c>
      <c r="G51" t="s">
        <v>53</v>
      </c>
    </row>
    <row r="52" spans="4:13" x14ac:dyDescent="0.25">
      <c r="F52" s="1"/>
    </row>
    <row r="55" spans="4:13" x14ac:dyDescent="0.25">
      <c r="D55" s="3"/>
      <c r="F55" s="1"/>
    </row>
    <row r="60" spans="4:13" x14ac:dyDescent="0.25">
      <c r="D60" s="2" t="s">
        <v>123</v>
      </c>
      <c r="I60" s="2" t="s">
        <v>167</v>
      </c>
    </row>
    <row r="62" spans="4:13" x14ac:dyDescent="0.25">
      <c r="D62" t="s">
        <v>124</v>
      </c>
      <c r="E62" s="14">
        <f>H26*F42</f>
        <v>30</v>
      </c>
      <c r="F62" t="s">
        <v>4</v>
      </c>
      <c r="I62" t="s">
        <v>168</v>
      </c>
      <c r="L62" s="16">
        <f>F16*365*F34</f>
        <v>1086130.5000000005</v>
      </c>
      <c r="M62" t="s">
        <v>3</v>
      </c>
    </row>
    <row r="63" spans="4:13" x14ac:dyDescent="0.25">
      <c r="D63" t="s">
        <v>126</v>
      </c>
      <c r="E63" s="12">
        <f>F45*F34/(F29/(24*365))</f>
        <v>50830907.400000013</v>
      </c>
      <c r="F63" t="str">
        <f>G45</f>
        <v>euro</v>
      </c>
      <c r="I63" t="s">
        <v>169</v>
      </c>
      <c r="L63" s="16">
        <f>P31*1000*3600*24*365/3600000/1000*F34</f>
        <v>55654.149051227352</v>
      </c>
      <c r="M63" t="s">
        <v>3</v>
      </c>
    </row>
    <row r="64" spans="4:13" x14ac:dyDescent="0.25">
      <c r="D64" t="s">
        <v>125</v>
      </c>
      <c r="E64" s="12">
        <f>F34/F30*F46</f>
        <v>803439.00000000023</v>
      </c>
      <c r="F64" t="str">
        <f>G46</f>
        <v>euro</v>
      </c>
      <c r="I64" t="s">
        <v>170</v>
      </c>
      <c r="L64" s="16">
        <f>P32*1000*3600*24*365*F34/1000/3600000</f>
        <v>95320.137720611398</v>
      </c>
      <c r="M64" t="s">
        <v>3</v>
      </c>
    </row>
    <row r="65" spans="4:13" x14ac:dyDescent="0.25">
      <c r="D65" t="s">
        <v>127</v>
      </c>
      <c r="E65" s="14">
        <f>F47*F34/F31</f>
        <v>2.16</v>
      </c>
      <c r="F65" t="str">
        <f>G47</f>
        <v>Meuro</v>
      </c>
      <c r="L65" s="16"/>
    </row>
    <row r="66" spans="4:13" x14ac:dyDescent="0.25">
      <c r="D66" t="s">
        <v>128</v>
      </c>
      <c r="E66" s="12">
        <f>(F48+F49)*F34/F33</f>
        <v>1238635.125</v>
      </c>
      <c r="F66" t="str">
        <f>G48</f>
        <v>euro</v>
      </c>
      <c r="L66" s="16"/>
    </row>
    <row r="67" spans="4:13" x14ac:dyDescent="0.25">
      <c r="D67" t="s">
        <v>129</v>
      </c>
      <c r="E67" s="12">
        <f>F51</f>
        <v>1175240.7750000001</v>
      </c>
      <c r="F67" t="str">
        <f>G51</f>
        <v>euro</v>
      </c>
      <c r="I67" t="s">
        <v>171</v>
      </c>
      <c r="L67" s="16">
        <f>SUM(L62:L64)</f>
        <v>1237104.7867718393</v>
      </c>
      <c r="M67" t="s">
        <v>3</v>
      </c>
    </row>
    <row r="68" spans="4:13" x14ac:dyDescent="0.25">
      <c r="E68" s="12"/>
      <c r="I68" t="s">
        <v>239</v>
      </c>
      <c r="L68" s="16">
        <f>L67/F42</f>
        <v>309276.19669295981</v>
      </c>
      <c r="M68" t="s">
        <v>3</v>
      </c>
    </row>
    <row r="69" spans="4:13" x14ac:dyDescent="0.25">
      <c r="D69" t="s">
        <v>131</v>
      </c>
      <c r="E69" s="12">
        <f>(P37+P38+P39)*F34</f>
        <v>98968382.941747129</v>
      </c>
      <c r="F69" t="s">
        <v>53</v>
      </c>
      <c r="I69" t="s">
        <v>240</v>
      </c>
      <c r="L69" s="21">
        <f>L68*1000*General!D10/1000</f>
        <v>5876.2477371662362</v>
      </c>
      <c r="M69" t="s">
        <v>338</v>
      </c>
    </row>
    <row r="70" spans="4:13" x14ac:dyDescent="0.25">
      <c r="D70" t="s">
        <v>130</v>
      </c>
      <c r="E70" s="12">
        <f>P36*F34</f>
        <v>403810.59600000008</v>
      </c>
      <c r="F70" t="s">
        <v>53</v>
      </c>
    </row>
    <row r="71" spans="4:13" x14ac:dyDescent="0.25">
      <c r="D71" t="s">
        <v>132</v>
      </c>
      <c r="E71" s="12">
        <f>P40*F34</f>
        <v>28382400</v>
      </c>
      <c r="F71" t="s">
        <v>53</v>
      </c>
    </row>
    <row r="72" spans="4:13" x14ac:dyDescent="0.25">
      <c r="D72" t="s">
        <v>385</v>
      </c>
      <c r="E72" s="12">
        <f>F34*P42</f>
        <v>38600872.093023255</v>
      </c>
      <c r="F72" t="s">
        <v>53</v>
      </c>
    </row>
    <row r="73" spans="4:13" x14ac:dyDescent="0.25">
      <c r="D73" t="s">
        <v>134</v>
      </c>
      <c r="E73" s="12">
        <f>P41*F34</f>
        <v>5400000</v>
      </c>
      <c r="F73" t="s">
        <v>53</v>
      </c>
    </row>
    <row r="76" spans="4:13" x14ac:dyDescent="0.25">
      <c r="D76" t="s">
        <v>212</v>
      </c>
      <c r="E76" s="12">
        <f>(E62*1000000+E63+E64+E66+E69+E70+E71+E72+E73+E65*1000000+E67)</f>
        <v>257963687.93077037</v>
      </c>
      <c r="F76" t="s">
        <v>53</v>
      </c>
    </row>
    <row r="78" spans="4:13" x14ac:dyDescent="0.25">
      <c r="D78" t="s">
        <v>210</v>
      </c>
      <c r="E78" s="20">
        <f>E76/(General!L12*365*HydrogenFC!F34)/F42</f>
        <v>1.6359949767298982</v>
      </c>
      <c r="F78" t="s">
        <v>364</v>
      </c>
    </row>
    <row r="83" spans="4:7" x14ac:dyDescent="0.25">
      <c r="D83" s="2" t="s">
        <v>361</v>
      </c>
    </row>
    <row r="85" spans="4:7" ht="30" x14ac:dyDescent="0.25">
      <c r="D85" s="3" t="s">
        <v>357</v>
      </c>
      <c r="F85" s="12">
        <f>L69*F42*General!D20</f>
        <v>4700998.1897329893</v>
      </c>
      <c r="G85" t="s">
        <v>53</v>
      </c>
    </row>
    <row r="87" spans="4:7" x14ac:dyDescent="0.25">
      <c r="D87" s="3" t="s">
        <v>358</v>
      </c>
      <c r="F87" s="12">
        <f>F85+E76</f>
        <v>262664686.12050337</v>
      </c>
      <c r="G87" t="s">
        <v>53</v>
      </c>
    </row>
    <row r="89" spans="4:7" x14ac:dyDescent="0.25">
      <c r="D89" s="3" t="s">
        <v>359</v>
      </c>
      <c r="F89" s="20">
        <f>F87/F42/(F34*General!L12*365)</f>
        <v>1.6658085116723957</v>
      </c>
      <c r="G89" t="s">
        <v>364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5:O62"/>
  <sheetViews>
    <sheetView workbookViewId="0">
      <selection activeCell="J24" sqref="J24"/>
    </sheetView>
  </sheetViews>
  <sheetFormatPr baseColWidth="10" defaultColWidth="9.140625" defaultRowHeight="15" x14ac:dyDescent="0.25"/>
  <cols>
    <col min="4" max="4" width="47.42578125" bestFit="1" customWidth="1"/>
    <col min="5" max="6" width="12.5703125" bestFit="1" customWidth="1"/>
    <col min="10" max="10" width="52.28515625" bestFit="1" customWidth="1"/>
    <col min="11" max="11" width="10" bestFit="1" customWidth="1"/>
    <col min="12" max="12" width="10.5703125" bestFit="1" customWidth="1"/>
  </cols>
  <sheetData>
    <row r="5" spans="4:10" x14ac:dyDescent="0.25">
      <c r="D5" s="2" t="s">
        <v>118</v>
      </c>
    </row>
    <row r="9" spans="4:10" x14ac:dyDescent="0.25">
      <c r="D9" t="s">
        <v>119</v>
      </c>
      <c r="E9" s="6">
        <v>1.2</v>
      </c>
      <c r="F9" t="s">
        <v>120</v>
      </c>
      <c r="G9" t="s">
        <v>293</v>
      </c>
    </row>
    <row r="11" spans="4:10" ht="30" x14ac:dyDescent="0.25">
      <c r="D11" s="3" t="s">
        <v>136</v>
      </c>
      <c r="E11">
        <f>E9*(General!L14/General!L13)</f>
        <v>4320</v>
      </c>
      <c r="F11" t="s">
        <v>122</v>
      </c>
    </row>
    <row r="15" spans="4:10" x14ac:dyDescent="0.25">
      <c r="D15" s="2" t="s">
        <v>137</v>
      </c>
      <c r="J15" s="2" t="s">
        <v>151</v>
      </c>
    </row>
    <row r="17" spans="4:15" x14ac:dyDescent="0.25">
      <c r="D17" t="s">
        <v>138</v>
      </c>
      <c r="E17" s="6">
        <v>4.5</v>
      </c>
      <c r="F17" t="s">
        <v>57</v>
      </c>
      <c r="G17" t="s">
        <v>294</v>
      </c>
      <c r="J17" t="s">
        <v>266</v>
      </c>
      <c r="L17" s="6">
        <f>0.79*General!L20</f>
        <v>259515</v>
      </c>
      <c r="M17" t="s">
        <v>262</v>
      </c>
      <c r="O17" t="s">
        <v>292</v>
      </c>
    </row>
    <row r="18" spans="4:15" x14ac:dyDescent="0.25">
      <c r="D18" t="s">
        <v>139</v>
      </c>
      <c r="E18" s="6"/>
      <c r="F18" t="s">
        <v>140</v>
      </c>
      <c r="J18" t="s">
        <v>152</v>
      </c>
      <c r="L18" s="6">
        <v>10350</v>
      </c>
      <c r="M18" t="s">
        <v>13</v>
      </c>
      <c r="O18" t="s">
        <v>292</v>
      </c>
    </row>
    <row r="19" spans="4:15" x14ac:dyDescent="0.25">
      <c r="D19" t="s">
        <v>141</v>
      </c>
      <c r="E19" s="6"/>
      <c r="F19" t="s">
        <v>142</v>
      </c>
      <c r="J19" t="s">
        <v>267</v>
      </c>
      <c r="L19" s="12">
        <f>HydrogenFC!P42</f>
        <v>1286695.7364341086</v>
      </c>
      <c r="M19" t="s">
        <v>13</v>
      </c>
    </row>
    <row r="20" spans="4:15" x14ac:dyDescent="0.25">
      <c r="D20" t="s">
        <v>249</v>
      </c>
      <c r="E20" s="6">
        <v>0.1</v>
      </c>
      <c r="F20" t="s">
        <v>11</v>
      </c>
      <c r="G20" t="s">
        <v>295</v>
      </c>
      <c r="J20" t="s">
        <v>367</v>
      </c>
      <c r="L20" s="12">
        <f>E11*365*General!D16</f>
        <v>1103760</v>
      </c>
      <c r="M20" t="s">
        <v>13</v>
      </c>
    </row>
    <row r="22" spans="4:15" x14ac:dyDescent="0.25">
      <c r="D22" t="s">
        <v>311</v>
      </c>
      <c r="E22">
        <f>General!D30</f>
        <v>4</v>
      </c>
      <c r="F22" t="s">
        <v>47</v>
      </c>
    </row>
    <row r="23" spans="4:15" x14ac:dyDescent="0.25">
      <c r="D23" t="s">
        <v>143</v>
      </c>
      <c r="E23" s="6">
        <v>1</v>
      </c>
      <c r="F23" t="s">
        <v>47</v>
      </c>
    </row>
    <row r="24" spans="4:15" x14ac:dyDescent="0.25">
      <c r="D24" t="s">
        <v>144</v>
      </c>
      <c r="E24" s="6">
        <v>1</v>
      </c>
      <c r="F24" t="s">
        <v>47</v>
      </c>
    </row>
    <row r="25" spans="4:15" x14ac:dyDescent="0.25">
      <c r="D25" t="s">
        <v>250</v>
      </c>
      <c r="E25" s="6">
        <v>1</v>
      </c>
      <c r="F25" t="s">
        <v>47</v>
      </c>
    </row>
    <row r="27" spans="4:15" x14ac:dyDescent="0.25">
      <c r="D27" t="s">
        <v>145</v>
      </c>
      <c r="E27" s="6">
        <v>30</v>
      </c>
      <c r="F27" t="s">
        <v>10</v>
      </c>
    </row>
    <row r="28" spans="4:15" x14ac:dyDescent="0.25">
      <c r="D28" t="s">
        <v>146</v>
      </c>
      <c r="E28" s="6">
        <v>20</v>
      </c>
      <c r="F28" t="s">
        <v>10</v>
      </c>
    </row>
    <row r="29" spans="4:15" x14ac:dyDescent="0.25">
      <c r="D29" t="s">
        <v>147</v>
      </c>
      <c r="E29" s="6">
        <v>20</v>
      </c>
      <c r="F29" t="s">
        <v>10</v>
      </c>
    </row>
    <row r="30" spans="4:15" x14ac:dyDescent="0.25">
      <c r="D30" t="s">
        <v>251</v>
      </c>
      <c r="E30" s="6">
        <v>20</v>
      </c>
      <c r="F30" t="s">
        <v>10</v>
      </c>
    </row>
    <row r="32" spans="4:15" x14ac:dyDescent="0.25">
      <c r="D32" t="s">
        <v>148</v>
      </c>
      <c r="E32">
        <f>E17*E22</f>
        <v>18</v>
      </c>
      <c r="F32" t="s">
        <v>4</v>
      </c>
    </row>
    <row r="33" spans="4:12" x14ac:dyDescent="0.25">
      <c r="D33" t="s">
        <v>149</v>
      </c>
      <c r="E33">
        <f>E18*E23</f>
        <v>0</v>
      </c>
      <c r="F33" t="s">
        <v>53</v>
      </c>
    </row>
    <row r="34" spans="4:12" x14ac:dyDescent="0.25">
      <c r="D34" t="s">
        <v>150</v>
      </c>
      <c r="E34">
        <f t="shared" ref="E34" si="0">E19*E24</f>
        <v>0</v>
      </c>
      <c r="F34" t="s">
        <v>53</v>
      </c>
    </row>
    <row r="35" spans="4:12" x14ac:dyDescent="0.25">
      <c r="D35" t="s">
        <v>252</v>
      </c>
      <c r="E35" s="19">
        <f>1/6*E32*1000000</f>
        <v>3000000</v>
      </c>
      <c r="F35" t="s">
        <v>53</v>
      </c>
      <c r="G35" t="s">
        <v>265</v>
      </c>
    </row>
    <row r="38" spans="4:12" x14ac:dyDescent="0.25">
      <c r="D38" s="2" t="s">
        <v>153</v>
      </c>
      <c r="J38" s="2" t="s">
        <v>161</v>
      </c>
    </row>
    <row r="40" spans="4:12" x14ac:dyDescent="0.25">
      <c r="D40" t="s">
        <v>156</v>
      </c>
      <c r="E40">
        <f>E32</f>
        <v>18</v>
      </c>
      <c r="F40" t="str">
        <f>F32</f>
        <v>Meuro</v>
      </c>
      <c r="J40" t="s">
        <v>241</v>
      </c>
      <c r="K40" s="16">
        <f>E11*365*E27</f>
        <v>47304000</v>
      </c>
      <c r="L40" t="s">
        <v>162</v>
      </c>
    </row>
    <row r="41" spans="4:12" x14ac:dyDescent="0.25">
      <c r="D41" t="s">
        <v>157</v>
      </c>
      <c r="E41" s="12">
        <f>E33*E27/E28</f>
        <v>0</v>
      </c>
      <c r="F41" t="str">
        <f>F33</f>
        <v>euro</v>
      </c>
      <c r="K41" s="16"/>
    </row>
    <row r="42" spans="4:12" x14ac:dyDescent="0.25">
      <c r="D42" t="s">
        <v>127</v>
      </c>
      <c r="E42" s="12">
        <f>E34*E27/E29</f>
        <v>0</v>
      </c>
      <c r="F42" t="str">
        <f>F34</f>
        <v>euro</v>
      </c>
      <c r="J42" t="s">
        <v>242</v>
      </c>
      <c r="K42" s="16">
        <f>K40*General!D8/1000</f>
        <v>140976.51609599998</v>
      </c>
      <c r="L42" t="s">
        <v>222</v>
      </c>
    </row>
    <row r="43" spans="4:12" x14ac:dyDescent="0.25">
      <c r="D43" t="s">
        <v>268</v>
      </c>
      <c r="E43" s="12">
        <f>E35*E27/E30</f>
        <v>4500000</v>
      </c>
      <c r="F43" t="s">
        <v>53</v>
      </c>
      <c r="K43" s="16"/>
    </row>
    <row r="44" spans="4:12" x14ac:dyDescent="0.25">
      <c r="D44" t="s">
        <v>158</v>
      </c>
      <c r="E44" s="12">
        <f>L20*E27</f>
        <v>33112800</v>
      </c>
      <c r="F44" t="s">
        <v>53</v>
      </c>
      <c r="J44" t="s">
        <v>243</v>
      </c>
      <c r="K44" s="21">
        <f>K42/E22</f>
        <v>35244.129023999994</v>
      </c>
      <c r="L44" t="s">
        <v>338</v>
      </c>
    </row>
    <row r="45" spans="4:12" x14ac:dyDescent="0.25">
      <c r="D45" t="s">
        <v>133</v>
      </c>
      <c r="E45" s="12">
        <f>L19*E27</f>
        <v>38600872.093023255</v>
      </c>
      <c r="F45" t="s">
        <v>53</v>
      </c>
    </row>
    <row r="46" spans="4:12" x14ac:dyDescent="0.25">
      <c r="D46" t="s">
        <v>159</v>
      </c>
      <c r="E46" s="12">
        <f>L17*E27*E22</f>
        <v>31141800</v>
      </c>
      <c r="F46" t="s">
        <v>53</v>
      </c>
    </row>
    <row r="47" spans="4:12" x14ac:dyDescent="0.25">
      <c r="D47" t="s">
        <v>160</v>
      </c>
      <c r="E47" s="12">
        <f>E27*L18</f>
        <v>310500</v>
      </c>
      <c r="F47" t="s">
        <v>53</v>
      </c>
    </row>
    <row r="48" spans="4:12" x14ac:dyDescent="0.25">
      <c r="E48" s="12"/>
    </row>
    <row r="49" spans="4:7" x14ac:dyDescent="0.25">
      <c r="D49" t="s">
        <v>211</v>
      </c>
      <c r="E49" s="12">
        <f>E41+E42+E44+E45+E46+E47+E40*1000000+E43</f>
        <v>125665972.09302326</v>
      </c>
      <c r="F49" t="s">
        <v>53</v>
      </c>
    </row>
    <row r="51" spans="4:7" x14ac:dyDescent="0.25">
      <c r="D51" t="s">
        <v>209</v>
      </c>
      <c r="E51" s="20">
        <f>E49/(General!L12*365*E27)/E22</f>
        <v>0.79696836690146666</v>
      </c>
      <c r="F51" t="s">
        <v>364</v>
      </c>
    </row>
    <row r="56" spans="4:7" x14ac:dyDescent="0.25">
      <c r="D56" s="2" t="s">
        <v>361</v>
      </c>
    </row>
    <row r="58" spans="4:7" ht="30" x14ac:dyDescent="0.25">
      <c r="D58" s="3" t="s">
        <v>357</v>
      </c>
      <c r="F58" s="12">
        <f>K42*General!D20</f>
        <v>28195303.219199996</v>
      </c>
      <c r="G58" t="s">
        <v>53</v>
      </c>
    </row>
    <row r="60" spans="4:7" x14ac:dyDescent="0.25">
      <c r="D60" s="3" t="s">
        <v>358</v>
      </c>
      <c r="F60" s="12">
        <f>F58+E49</f>
        <v>153861275.31222326</v>
      </c>
      <c r="G60" t="s">
        <v>53</v>
      </c>
    </row>
    <row r="62" spans="4:7" x14ac:dyDescent="0.25">
      <c r="D62" s="3" t="s">
        <v>359</v>
      </c>
      <c r="F62" s="20">
        <f>F60/E22/(General!L12*365*Diesel!E27)</f>
        <v>0.97578180690146665</v>
      </c>
      <c r="G62" t="s">
        <v>364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4:Q68"/>
  <sheetViews>
    <sheetView workbookViewId="0">
      <selection activeCell="N15" sqref="N15"/>
    </sheetView>
  </sheetViews>
  <sheetFormatPr baseColWidth="10" defaultColWidth="9.140625" defaultRowHeight="15" x14ac:dyDescent="0.25"/>
  <cols>
    <col min="3" max="3" width="30.7109375" bestFit="1" customWidth="1"/>
    <col min="5" max="5" width="12.5703125" bestFit="1" customWidth="1"/>
    <col min="6" max="6" width="11.7109375" bestFit="1" customWidth="1"/>
    <col min="12" max="12" width="44" bestFit="1" customWidth="1"/>
    <col min="14" max="14" width="10.5703125" bestFit="1" customWidth="1"/>
    <col min="15" max="15" width="21" bestFit="1" customWidth="1"/>
  </cols>
  <sheetData>
    <row r="4" spans="3:17" x14ac:dyDescent="0.25">
      <c r="C4" s="2" t="s">
        <v>172</v>
      </c>
    </row>
    <row r="6" spans="3:17" x14ac:dyDescent="0.25">
      <c r="C6" t="s">
        <v>244</v>
      </c>
      <c r="E6" s="6">
        <v>2.5000000000000001E-2</v>
      </c>
      <c r="F6" t="s">
        <v>1</v>
      </c>
    </row>
    <row r="8" spans="3:17" x14ac:dyDescent="0.25">
      <c r="C8" t="s">
        <v>246</v>
      </c>
      <c r="E8">
        <f>E6*General!L14</f>
        <v>17100</v>
      </c>
      <c r="F8" t="s">
        <v>269</v>
      </c>
    </row>
    <row r="13" spans="3:17" x14ac:dyDescent="0.25">
      <c r="C13" s="2" t="s">
        <v>137</v>
      </c>
      <c r="L13" s="2" t="s">
        <v>173</v>
      </c>
    </row>
    <row r="15" spans="3:17" x14ac:dyDescent="0.25">
      <c r="C15" t="s">
        <v>174</v>
      </c>
      <c r="E15" s="6">
        <v>4.5</v>
      </c>
      <c r="F15" t="s">
        <v>175</v>
      </c>
      <c r="L15" t="s">
        <v>192</v>
      </c>
      <c r="N15" s="19">
        <f>0.4*General!L17*365</f>
        <v>131400</v>
      </c>
      <c r="O15" t="s">
        <v>262</v>
      </c>
      <c r="Q15" t="s">
        <v>295</v>
      </c>
    </row>
    <row r="16" spans="3:17" x14ac:dyDescent="0.25">
      <c r="C16" t="s">
        <v>352</v>
      </c>
      <c r="E16" s="6">
        <v>3.5</v>
      </c>
      <c r="F16" t="s">
        <v>189</v>
      </c>
      <c r="G16" t="s">
        <v>296</v>
      </c>
      <c r="L16" t="s">
        <v>193</v>
      </c>
      <c r="N16" s="19">
        <v>38300</v>
      </c>
      <c r="O16" t="s">
        <v>13</v>
      </c>
      <c r="Q16" t="s">
        <v>296</v>
      </c>
    </row>
    <row r="17" spans="3:17" x14ac:dyDescent="0.25">
      <c r="C17" t="s">
        <v>176</v>
      </c>
      <c r="E17" s="6">
        <v>2.5</v>
      </c>
      <c r="F17" t="s">
        <v>190</v>
      </c>
      <c r="G17" t="s">
        <v>296</v>
      </c>
      <c r="L17" t="s">
        <v>194</v>
      </c>
      <c r="N17" s="19">
        <v>34000</v>
      </c>
      <c r="O17" t="s">
        <v>13</v>
      </c>
      <c r="Q17" t="s">
        <v>296</v>
      </c>
    </row>
    <row r="18" spans="3:17" x14ac:dyDescent="0.25">
      <c r="C18" t="s">
        <v>177</v>
      </c>
      <c r="E18" s="6">
        <v>1</v>
      </c>
      <c r="F18" t="s">
        <v>12</v>
      </c>
      <c r="G18" t="s">
        <v>296</v>
      </c>
      <c r="L18" t="s">
        <v>195</v>
      </c>
      <c r="N18" s="19">
        <v>2800</v>
      </c>
      <c r="O18" t="s">
        <v>336</v>
      </c>
      <c r="Q18" t="s">
        <v>296</v>
      </c>
    </row>
    <row r="19" spans="3:17" x14ac:dyDescent="0.25">
      <c r="N19" s="12"/>
    </row>
    <row r="20" spans="3:17" x14ac:dyDescent="0.25">
      <c r="L20" t="s">
        <v>263</v>
      </c>
      <c r="N20" s="12">
        <f>HydrogenFC!P42</f>
        <v>1286695.7364341086</v>
      </c>
      <c r="O20" t="s">
        <v>13</v>
      </c>
    </row>
    <row r="21" spans="3:17" x14ac:dyDescent="0.25">
      <c r="C21" t="s">
        <v>178</v>
      </c>
      <c r="E21" s="6">
        <v>30</v>
      </c>
      <c r="F21" t="s">
        <v>10</v>
      </c>
    </row>
    <row r="22" spans="3:17" x14ac:dyDescent="0.25">
      <c r="C22" t="s">
        <v>179</v>
      </c>
      <c r="E22" s="6">
        <v>40</v>
      </c>
      <c r="F22" t="s">
        <v>10</v>
      </c>
      <c r="G22" t="s">
        <v>296</v>
      </c>
      <c r="L22" t="s">
        <v>196</v>
      </c>
      <c r="N22" s="16">
        <f>E8/1000*365</f>
        <v>6241.5000000000009</v>
      </c>
      <c r="O22" t="s">
        <v>197</v>
      </c>
    </row>
    <row r="23" spans="3:17" x14ac:dyDescent="0.25">
      <c r="C23" t="s">
        <v>180</v>
      </c>
      <c r="E23" s="6">
        <v>40</v>
      </c>
      <c r="F23" t="s">
        <v>10</v>
      </c>
      <c r="G23" t="s">
        <v>296</v>
      </c>
    </row>
    <row r="24" spans="3:17" x14ac:dyDescent="0.25">
      <c r="C24" t="s">
        <v>181</v>
      </c>
      <c r="E24" s="6">
        <v>60</v>
      </c>
      <c r="F24" t="s">
        <v>10</v>
      </c>
      <c r="G24" t="s">
        <v>296</v>
      </c>
    </row>
    <row r="27" spans="3:17" x14ac:dyDescent="0.25">
      <c r="C27" t="s">
        <v>335</v>
      </c>
      <c r="E27">
        <f>General!D30</f>
        <v>4</v>
      </c>
      <c r="F27" t="s">
        <v>47</v>
      </c>
    </row>
    <row r="28" spans="3:17" x14ac:dyDescent="0.25">
      <c r="C28" t="s">
        <v>182</v>
      </c>
      <c r="E28" s="6">
        <f>CEILING(General!L3/10+1,1)</f>
        <v>6</v>
      </c>
      <c r="F28" t="s">
        <v>47</v>
      </c>
    </row>
    <row r="29" spans="3:17" x14ac:dyDescent="0.25">
      <c r="C29" t="s">
        <v>183</v>
      </c>
      <c r="E29" s="6">
        <v>0</v>
      </c>
      <c r="F29" t="s">
        <v>47</v>
      </c>
    </row>
    <row r="30" spans="3:17" x14ac:dyDescent="0.25">
      <c r="C30" t="s">
        <v>191</v>
      </c>
      <c r="E30">
        <f>General!L3</f>
        <v>50</v>
      </c>
      <c r="F30" t="s">
        <v>0</v>
      </c>
    </row>
    <row r="33" spans="3:15" x14ac:dyDescent="0.25">
      <c r="C33" t="s">
        <v>184</v>
      </c>
      <c r="E33">
        <f>E27*E15</f>
        <v>18</v>
      </c>
      <c r="F33" t="s">
        <v>188</v>
      </c>
    </row>
    <row r="34" spans="3:15" x14ac:dyDescent="0.25">
      <c r="C34" t="s">
        <v>185</v>
      </c>
      <c r="E34">
        <f>E16*E28</f>
        <v>21</v>
      </c>
      <c r="F34" t="s">
        <v>188</v>
      </c>
    </row>
    <row r="35" spans="3:15" x14ac:dyDescent="0.25">
      <c r="C35" t="s">
        <v>186</v>
      </c>
      <c r="E35">
        <f t="shared" ref="E35" si="0">E17*E29</f>
        <v>0</v>
      </c>
      <c r="F35" t="s">
        <v>188</v>
      </c>
    </row>
    <row r="36" spans="3:15" x14ac:dyDescent="0.25">
      <c r="C36" t="s">
        <v>187</v>
      </c>
      <c r="E36">
        <f>E18*E30</f>
        <v>50</v>
      </c>
      <c r="F36" t="s">
        <v>188</v>
      </c>
    </row>
    <row r="40" spans="3:15" x14ac:dyDescent="0.25">
      <c r="C40" s="2" t="s">
        <v>198</v>
      </c>
      <c r="L40" s="2" t="s">
        <v>161</v>
      </c>
    </row>
    <row r="42" spans="3:15" x14ac:dyDescent="0.25">
      <c r="C42" t="s">
        <v>199</v>
      </c>
      <c r="E42">
        <f>E33</f>
        <v>18</v>
      </c>
      <c r="F42" t="str">
        <f>F33</f>
        <v>Meur</v>
      </c>
      <c r="L42" t="s">
        <v>213</v>
      </c>
      <c r="N42" s="16">
        <f>N22*E21</f>
        <v>187245.00000000003</v>
      </c>
      <c r="O42" t="s">
        <v>3</v>
      </c>
    </row>
    <row r="43" spans="3:15" x14ac:dyDescent="0.25">
      <c r="C43" t="s">
        <v>200</v>
      </c>
      <c r="E43">
        <f>E34*E21/E22</f>
        <v>15.75</v>
      </c>
      <c r="F43" t="str">
        <f>F34</f>
        <v>Meur</v>
      </c>
    </row>
    <row r="44" spans="3:15" x14ac:dyDescent="0.25">
      <c r="C44" t="s">
        <v>201</v>
      </c>
      <c r="E44">
        <f>E35*E21/E23</f>
        <v>0</v>
      </c>
      <c r="F44" t="str">
        <f>F35</f>
        <v>Meur</v>
      </c>
    </row>
    <row r="45" spans="3:15" x14ac:dyDescent="0.25">
      <c r="C45" t="s">
        <v>202</v>
      </c>
      <c r="E45">
        <f>E36*E21/E24</f>
        <v>25</v>
      </c>
      <c r="F45" t="str">
        <f>F36</f>
        <v>Meur</v>
      </c>
      <c r="L45" t="s">
        <v>247</v>
      </c>
      <c r="N45" s="16">
        <f>N42*General!D9*1000/1000</f>
        <v>43253.595000000008</v>
      </c>
      <c r="O45" t="s">
        <v>222</v>
      </c>
    </row>
    <row r="46" spans="3:15" x14ac:dyDescent="0.25">
      <c r="L46" t="s">
        <v>248</v>
      </c>
      <c r="N46" s="21">
        <f>N45/E27</f>
        <v>10813.398750000002</v>
      </c>
      <c r="O46" t="s">
        <v>338</v>
      </c>
    </row>
    <row r="47" spans="3:15" x14ac:dyDescent="0.25">
      <c r="C47" t="s">
        <v>362</v>
      </c>
      <c r="E47" s="12">
        <f>HydrogenFC!E72</f>
        <v>38600872.093023255</v>
      </c>
      <c r="F47" t="s">
        <v>53</v>
      </c>
    </row>
    <row r="48" spans="3:15" x14ac:dyDescent="0.25">
      <c r="E48" s="12"/>
    </row>
    <row r="49" spans="3:9" x14ac:dyDescent="0.25">
      <c r="C49" t="s">
        <v>204</v>
      </c>
      <c r="E49" s="12">
        <f>N15*E27*E21</f>
        <v>15768000</v>
      </c>
      <c r="F49" t="s">
        <v>53</v>
      </c>
    </row>
    <row r="50" spans="3:9" x14ac:dyDescent="0.25">
      <c r="C50" t="s">
        <v>205</v>
      </c>
      <c r="E50" s="12">
        <f>N16*E28*E21</f>
        <v>6894000</v>
      </c>
      <c r="F50" t="s">
        <v>53</v>
      </c>
    </row>
    <row r="51" spans="3:9" x14ac:dyDescent="0.25">
      <c r="C51" t="s">
        <v>206</v>
      </c>
      <c r="E51" s="12">
        <f>N17*E29*E21</f>
        <v>0</v>
      </c>
      <c r="F51" t="s">
        <v>53</v>
      </c>
    </row>
    <row r="52" spans="3:9" x14ac:dyDescent="0.25">
      <c r="C52" t="s">
        <v>207</v>
      </c>
      <c r="E52" s="12">
        <f>N18*General!L3*E21</f>
        <v>4200000</v>
      </c>
      <c r="F52" t="s">
        <v>53</v>
      </c>
      <c r="G52" s="4" t="s">
        <v>271</v>
      </c>
      <c r="H52" s="4"/>
      <c r="I52" s="4"/>
    </row>
    <row r="53" spans="3:9" x14ac:dyDescent="0.25">
      <c r="C53" t="s">
        <v>363</v>
      </c>
      <c r="E53" s="12">
        <f>N22*E21*General!D14</f>
        <v>14979600.000000002</v>
      </c>
      <c r="F53" t="s">
        <v>53</v>
      </c>
    </row>
    <row r="54" spans="3:9" x14ac:dyDescent="0.25">
      <c r="E54" s="12"/>
    </row>
    <row r="55" spans="3:9" x14ac:dyDescent="0.25">
      <c r="C55" t="s">
        <v>211</v>
      </c>
      <c r="E55" s="12">
        <f>E47+E49+E50+E51+E52+E53+(E42+E43+E44+E45)*1000000</f>
        <v>139192472.09302324</v>
      </c>
      <c r="F55" t="s">
        <v>53</v>
      </c>
    </row>
    <row r="57" spans="3:9" x14ac:dyDescent="0.25">
      <c r="C57" t="s">
        <v>208</v>
      </c>
      <c r="E57" s="20">
        <f>E55/(General!L12*365*Electric!E21)/E27</f>
        <v>0.88275286715514489</v>
      </c>
      <c r="F57" t="s">
        <v>364</v>
      </c>
    </row>
    <row r="62" spans="3:9" x14ac:dyDescent="0.25">
      <c r="C62" s="2" t="s">
        <v>360</v>
      </c>
    </row>
    <row r="64" spans="3:9" ht="30" x14ac:dyDescent="0.25">
      <c r="C64" s="3" t="s">
        <v>357</v>
      </c>
      <c r="E64" s="12">
        <f>N45*General!D20</f>
        <v>8650719.0000000019</v>
      </c>
      <c r="F64" t="s">
        <v>53</v>
      </c>
    </row>
    <row r="66" spans="3:6" ht="30" x14ac:dyDescent="0.25">
      <c r="C66" s="3" t="s">
        <v>358</v>
      </c>
      <c r="E66" s="12">
        <f>E64+E55</f>
        <v>147843191.09302324</v>
      </c>
      <c r="F66" t="s">
        <v>53</v>
      </c>
    </row>
    <row r="68" spans="3:6" ht="30" x14ac:dyDescent="0.25">
      <c r="C68" s="3" t="s">
        <v>359</v>
      </c>
      <c r="E68" s="20">
        <f>E66/E27/(General!L12*365*Electric!E21)</f>
        <v>0.93761536715514482</v>
      </c>
      <c r="F68" t="s">
        <v>364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4:O68"/>
  <sheetViews>
    <sheetView topLeftCell="A10" workbookViewId="0">
      <selection activeCell="N32" sqref="N32"/>
    </sheetView>
  </sheetViews>
  <sheetFormatPr baseColWidth="10" defaultColWidth="9.140625" defaultRowHeight="15" x14ac:dyDescent="0.25"/>
  <cols>
    <col min="3" max="3" width="30.7109375" bestFit="1" customWidth="1"/>
    <col min="5" max="5" width="12.5703125" bestFit="1" customWidth="1"/>
    <col min="6" max="6" width="11.7109375" bestFit="1" customWidth="1"/>
    <col min="12" max="12" width="44" bestFit="1" customWidth="1"/>
    <col min="14" max="14" width="10.5703125" bestFit="1" customWidth="1"/>
  </cols>
  <sheetData>
    <row r="4" spans="3:15" x14ac:dyDescent="0.25">
      <c r="C4" s="2" t="s">
        <v>253</v>
      </c>
    </row>
    <row r="5" spans="3:15" x14ac:dyDescent="0.25">
      <c r="C5" t="s">
        <v>244</v>
      </c>
      <c r="E5" s="6">
        <f>Electric!E6</f>
        <v>2.5000000000000001E-2</v>
      </c>
      <c r="F5" t="s">
        <v>1</v>
      </c>
    </row>
    <row r="6" spans="3:15" x14ac:dyDescent="0.25">
      <c r="C6" t="s">
        <v>339</v>
      </c>
      <c r="E6" s="6">
        <v>0.95</v>
      </c>
      <c r="F6" t="s">
        <v>47</v>
      </c>
      <c r="G6" t="s">
        <v>297</v>
      </c>
    </row>
    <row r="7" spans="3:15" x14ac:dyDescent="0.25">
      <c r="C7" t="s">
        <v>340</v>
      </c>
      <c r="E7" s="6">
        <v>0.85</v>
      </c>
      <c r="F7" t="s">
        <v>47</v>
      </c>
      <c r="G7" t="s">
        <v>297</v>
      </c>
    </row>
    <row r="8" spans="3:15" x14ac:dyDescent="0.25">
      <c r="C8" t="s">
        <v>246</v>
      </c>
      <c r="E8" s="16">
        <f>E5*General!L14/E6/E7</f>
        <v>21176.470588235294</v>
      </c>
      <c r="F8" t="s">
        <v>269</v>
      </c>
    </row>
    <row r="13" spans="3:15" x14ac:dyDescent="0.25">
      <c r="C13" s="2" t="s">
        <v>137</v>
      </c>
      <c r="L13" s="2" t="s">
        <v>173</v>
      </c>
    </row>
    <row r="14" spans="3:15" x14ac:dyDescent="0.25">
      <c r="N14" t="s">
        <v>279</v>
      </c>
    </row>
    <row r="15" spans="3:15" x14ac:dyDescent="0.25">
      <c r="C15" t="s">
        <v>342</v>
      </c>
      <c r="E15" s="6">
        <v>6.5</v>
      </c>
      <c r="F15" t="s">
        <v>175</v>
      </c>
      <c r="G15" t="s">
        <v>294</v>
      </c>
      <c r="L15" t="s">
        <v>347</v>
      </c>
      <c r="N15" s="19">
        <f>(HydrogenFC!P40+Electric!N15*Electric!E27)/2</f>
        <v>735840</v>
      </c>
      <c r="O15" t="s">
        <v>13</v>
      </c>
    </row>
    <row r="16" spans="3:15" x14ac:dyDescent="0.25">
      <c r="C16" t="s">
        <v>404</v>
      </c>
      <c r="E16" s="6">
        <v>5</v>
      </c>
      <c r="F16" t="s">
        <v>189</v>
      </c>
      <c r="G16" t="s">
        <v>296</v>
      </c>
      <c r="L16" t="s">
        <v>193</v>
      </c>
      <c r="N16" s="19">
        <v>38300</v>
      </c>
      <c r="O16" t="s">
        <v>348</v>
      </c>
    </row>
    <row r="17" spans="3:15" x14ac:dyDescent="0.25">
      <c r="C17" t="s">
        <v>176</v>
      </c>
      <c r="E17" s="6">
        <v>2.5</v>
      </c>
      <c r="F17" t="s">
        <v>190</v>
      </c>
      <c r="G17" t="s">
        <v>296</v>
      </c>
      <c r="L17" t="s">
        <v>194</v>
      </c>
      <c r="N17" s="19">
        <v>34000</v>
      </c>
      <c r="O17" t="s">
        <v>349</v>
      </c>
    </row>
    <row r="18" spans="3:15" x14ac:dyDescent="0.25">
      <c r="C18" t="s">
        <v>177</v>
      </c>
      <c r="E18" s="6">
        <v>1</v>
      </c>
      <c r="F18" t="s">
        <v>12</v>
      </c>
      <c r="G18" t="s">
        <v>296</v>
      </c>
      <c r="L18" t="s">
        <v>195</v>
      </c>
      <c r="N18" s="19">
        <v>2800</v>
      </c>
      <c r="O18" t="s">
        <v>336</v>
      </c>
    </row>
    <row r="19" spans="3:15" x14ac:dyDescent="0.25">
      <c r="N19" s="12"/>
    </row>
    <row r="20" spans="3:15" x14ac:dyDescent="0.25">
      <c r="L20" t="s">
        <v>263</v>
      </c>
      <c r="N20" s="12">
        <f>HydrogenFC!P42</f>
        <v>1286695.7364341086</v>
      </c>
      <c r="O20" t="s">
        <v>13</v>
      </c>
    </row>
    <row r="21" spans="3:15" x14ac:dyDescent="0.25">
      <c r="C21" t="s">
        <v>343</v>
      </c>
      <c r="E21" s="6">
        <v>30</v>
      </c>
      <c r="F21" t="s">
        <v>10</v>
      </c>
    </row>
    <row r="22" spans="3:15" x14ac:dyDescent="0.25">
      <c r="C22" t="s">
        <v>179</v>
      </c>
      <c r="E22" s="6">
        <v>40</v>
      </c>
      <c r="F22" t="s">
        <v>10</v>
      </c>
      <c r="G22" t="s">
        <v>296</v>
      </c>
      <c r="L22" t="s">
        <v>196</v>
      </c>
      <c r="N22" s="16">
        <f>E8/1000*365</f>
        <v>7729.411764705882</v>
      </c>
      <c r="O22" t="s">
        <v>197</v>
      </c>
    </row>
    <row r="23" spans="3:15" x14ac:dyDescent="0.25">
      <c r="C23" t="s">
        <v>180</v>
      </c>
      <c r="E23" s="6">
        <v>40</v>
      </c>
      <c r="F23" t="s">
        <v>10</v>
      </c>
      <c r="G23" t="s">
        <v>296</v>
      </c>
    </row>
    <row r="24" spans="3:15" x14ac:dyDescent="0.25">
      <c r="C24" t="s">
        <v>181</v>
      </c>
      <c r="E24" s="6">
        <v>60</v>
      </c>
      <c r="F24" t="s">
        <v>10</v>
      </c>
      <c r="G24" t="s">
        <v>296</v>
      </c>
    </row>
    <row r="27" spans="3:15" ht="30" x14ac:dyDescent="0.25">
      <c r="C27" s="3" t="s">
        <v>254</v>
      </c>
      <c r="E27">
        <f>CEILING(General!L3/(10+60),1)</f>
        <v>1</v>
      </c>
    </row>
    <row r="28" spans="3:15" x14ac:dyDescent="0.25">
      <c r="C28" t="s">
        <v>341</v>
      </c>
      <c r="E28">
        <f>General!D30</f>
        <v>4</v>
      </c>
      <c r="F28" t="s">
        <v>47</v>
      </c>
    </row>
    <row r="29" spans="3:15" x14ac:dyDescent="0.25">
      <c r="C29" t="s">
        <v>182</v>
      </c>
      <c r="E29" s="6">
        <f>E27+2</f>
        <v>3</v>
      </c>
      <c r="F29" t="s">
        <v>47</v>
      </c>
    </row>
    <row r="30" spans="3:15" x14ac:dyDescent="0.25">
      <c r="C30" t="s">
        <v>183</v>
      </c>
      <c r="E30" s="6">
        <v>0</v>
      </c>
      <c r="F30" t="s">
        <v>47</v>
      </c>
    </row>
    <row r="31" spans="3:15" x14ac:dyDescent="0.25">
      <c r="C31" t="s">
        <v>191</v>
      </c>
      <c r="E31">
        <f>E27*10+2</f>
        <v>12</v>
      </c>
      <c r="F31" t="s">
        <v>0</v>
      </c>
    </row>
    <row r="34" spans="3:15" x14ac:dyDescent="0.25">
      <c r="C34" t="s">
        <v>354</v>
      </c>
      <c r="E34">
        <f>E28*E15</f>
        <v>26</v>
      </c>
      <c r="F34" t="s">
        <v>188</v>
      </c>
    </row>
    <row r="35" spans="3:15" x14ac:dyDescent="0.25">
      <c r="C35" t="s">
        <v>185</v>
      </c>
      <c r="E35">
        <f>E16*E29</f>
        <v>15</v>
      </c>
      <c r="F35" t="s">
        <v>188</v>
      </c>
    </row>
    <row r="36" spans="3:15" x14ac:dyDescent="0.25">
      <c r="C36" t="s">
        <v>186</v>
      </c>
      <c r="E36">
        <f>E17*E30</f>
        <v>0</v>
      </c>
      <c r="F36" t="s">
        <v>188</v>
      </c>
    </row>
    <row r="37" spans="3:15" x14ac:dyDescent="0.25">
      <c r="C37" t="s">
        <v>187</v>
      </c>
      <c r="E37">
        <f>E18*E31</f>
        <v>12</v>
      </c>
      <c r="F37" t="s">
        <v>188</v>
      </c>
    </row>
    <row r="41" spans="3:15" x14ac:dyDescent="0.25">
      <c r="C41" s="2" t="s">
        <v>355</v>
      </c>
      <c r="L41" s="2" t="s">
        <v>161</v>
      </c>
    </row>
    <row r="42" spans="3:15" x14ac:dyDescent="0.25">
      <c r="N42" s="16"/>
    </row>
    <row r="43" spans="3:15" x14ac:dyDescent="0.25">
      <c r="C43" t="s">
        <v>356</v>
      </c>
      <c r="E43">
        <f>E34</f>
        <v>26</v>
      </c>
      <c r="F43" t="str">
        <f>F34</f>
        <v>Meur</v>
      </c>
      <c r="L43" t="s">
        <v>213</v>
      </c>
      <c r="N43" s="16">
        <f>N22*E21</f>
        <v>231882.35294117645</v>
      </c>
      <c r="O43" t="s">
        <v>3</v>
      </c>
    </row>
    <row r="44" spans="3:15" x14ac:dyDescent="0.25">
      <c r="C44" t="s">
        <v>200</v>
      </c>
      <c r="E44">
        <f>E35*E21/E22</f>
        <v>11.25</v>
      </c>
      <c r="F44" t="str">
        <f>F35</f>
        <v>Meur</v>
      </c>
      <c r="N44" s="16"/>
    </row>
    <row r="45" spans="3:15" x14ac:dyDescent="0.25">
      <c r="C45" t="s">
        <v>201</v>
      </c>
      <c r="E45">
        <f>E36*E21/E23</f>
        <v>0</v>
      </c>
      <c r="F45" t="str">
        <f>F36</f>
        <v>Meur</v>
      </c>
      <c r="N45" s="16"/>
    </row>
    <row r="46" spans="3:15" x14ac:dyDescent="0.25">
      <c r="C46" t="s">
        <v>202</v>
      </c>
      <c r="E46">
        <f>E37*E21/E24</f>
        <v>6</v>
      </c>
      <c r="F46" t="str">
        <f>F37</f>
        <v>Meur</v>
      </c>
      <c r="L46" t="s">
        <v>247</v>
      </c>
      <c r="N46" s="16">
        <f>N43*General!D9*1000/1000</f>
        <v>53564.823529411762</v>
      </c>
      <c r="O46" t="s">
        <v>222</v>
      </c>
    </row>
    <row r="47" spans="3:15" x14ac:dyDescent="0.25">
      <c r="L47" t="s">
        <v>248</v>
      </c>
      <c r="N47" s="21">
        <f>N46/E28</f>
        <v>13391.205882352941</v>
      </c>
      <c r="O47" t="s">
        <v>222</v>
      </c>
    </row>
    <row r="48" spans="3:15" x14ac:dyDescent="0.25">
      <c r="C48" t="s">
        <v>203</v>
      </c>
      <c r="E48" s="12">
        <f>HydrogenFC!E72</f>
        <v>38600872.093023255</v>
      </c>
      <c r="F48" t="s">
        <v>53</v>
      </c>
    </row>
    <row r="49" spans="3:9" x14ac:dyDescent="0.25">
      <c r="E49" s="12"/>
    </row>
    <row r="50" spans="3:9" x14ac:dyDescent="0.25">
      <c r="C50" t="s">
        <v>350</v>
      </c>
      <c r="E50" s="12">
        <f>N15*E21</f>
        <v>22075200</v>
      </c>
      <c r="F50" t="s">
        <v>53</v>
      </c>
    </row>
    <row r="51" spans="3:9" x14ac:dyDescent="0.25">
      <c r="C51" t="s">
        <v>205</v>
      </c>
      <c r="E51" s="12">
        <f>N16*E29*E21</f>
        <v>3447000</v>
      </c>
      <c r="F51" t="s">
        <v>53</v>
      </c>
    </row>
    <row r="52" spans="3:9" x14ac:dyDescent="0.25">
      <c r="C52" t="s">
        <v>206</v>
      </c>
      <c r="E52" s="12">
        <f>N17*E30*E21</f>
        <v>0</v>
      </c>
      <c r="F52" t="s">
        <v>53</v>
      </c>
    </row>
    <row r="53" spans="3:9" x14ac:dyDescent="0.25">
      <c r="C53" t="s">
        <v>207</v>
      </c>
      <c r="E53" s="12">
        <f>N18*General!L3*E21</f>
        <v>4200000</v>
      </c>
      <c r="F53" t="s">
        <v>53</v>
      </c>
      <c r="G53" s="4" t="s">
        <v>351</v>
      </c>
      <c r="H53" s="4"/>
      <c r="I53" s="4"/>
    </row>
    <row r="54" spans="3:9" x14ac:dyDescent="0.25">
      <c r="C54" t="s">
        <v>363</v>
      </c>
      <c r="E54" s="12">
        <f>N22*E21*General!D14</f>
        <v>18550588.235294115</v>
      </c>
      <c r="F54" t="s">
        <v>53</v>
      </c>
    </row>
    <row r="55" spans="3:9" x14ac:dyDescent="0.25">
      <c r="E55" s="12"/>
    </row>
    <row r="56" spans="3:9" x14ac:dyDescent="0.25">
      <c r="C56" t="s">
        <v>211</v>
      </c>
      <c r="E56" s="12">
        <f>E48+E50+E51+E52+E53+E54+(E43+E44+E45+E46)*1000000</f>
        <v>130123660.32831737</v>
      </c>
      <c r="F56" t="s">
        <v>53</v>
      </c>
    </row>
    <row r="58" spans="3:9" x14ac:dyDescent="0.25">
      <c r="C58" t="s">
        <v>208</v>
      </c>
      <c r="E58" s="20">
        <f>E56/(General!L12*365*BatteryElectric!E21)/E28</f>
        <v>0.82523884023539684</v>
      </c>
      <c r="F58" t="s">
        <v>364</v>
      </c>
    </row>
    <row r="62" spans="3:9" x14ac:dyDescent="0.25">
      <c r="C62" s="2" t="s">
        <v>353</v>
      </c>
    </row>
    <row r="64" spans="3:9" ht="30" x14ac:dyDescent="0.25">
      <c r="C64" s="3" t="s">
        <v>357</v>
      </c>
      <c r="E64" s="12">
        <f>N46*General!D20</f>
        <v>10712964.705882352</v>
      </c>
      <c r="F64" t="s">
        <v>53</v>
      </c>
    </row>
    <row r="66" spans="3:6" ht="30" x14ac:dyDescent="0.25">
      <c r="C66" s="3" t="s">
        <v>358</v>
      </c>
      <c r="E66" s="12">
        <f>E64+E56</f>
        <v>140836625.03419971</v>
      </c>
      <c r="F66" t="s">
        <v>53</v>
      </c>
    </row>
    <row r="68" spans="3:6" ht="30" x14ac:dyDescent="0.25">
      <c r="C68" s="3" t="s">
        <v>359</v>
      </c>
      <c r="E68" s="20">
        <f>E66/E28/General!L12/365/BatteryElectric!E21</f>
        <v>0.89318001670598501</v>
      </c>
      <c r="F68" t="s">
        <v>364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4:BO36"/>
  <sheetViews>
    <sheetView topLeftCell="O1" zoomScale="85" zoomScaleNormal="85" workbookViewId="0">
      <selection activeCell="AC36" sqref="AC36"/>
    </sheetView>
  </sheetViews>
  <sheetFormatPr baseColWidth="10" defaultColWidth="9.140625" defaultRowHeight="15" x14ac:dyDescent="0.25"/>
  <cols>
    <col min="3" max="3" width="12" customWidth="1"/>
    <col min="4" max="4" width="11.42578125" bestFit="1" customWidth="1"/>
    <col min="5" max="6" width="11.7109375" bestFit="1" customWidth="1"/>
    <col min="7" max="7" width="14.7109375" customWidth="1"/>
    <col min="8" max="14" width="12.5703125" customWidth="1"/>
    <col min="15" max="15" width="12.5703125" bestFit="1" customWidth="1"/>
    <col min="16" max="16" width="9.28515625" bestFit="1" customWidth="1"/>
    <col min="17" max="17" width="11.5703125" bestFit="1" customWidth="1"/>
    <col min="18" max="18" width="14.28515625" customWidth="1"/>
    <col min="19" max="19" width="12.28515625" customWidth="1"/>
    <col min="20" max="20" width="12.5703125" bestFit="1" customWidth="1"/>
    <col min="25" max="25" width="11.7109375" bestFit="1" customWidth="1"/>
    <col min="26" max="28" width="15.42578125" customWidth="1"/>
    <col min="29" max="29" width="11.5703125" bestFit="1" customWidth="1"/>
    <col min="30" max="30" width="12.28515625" customWidth="1"/>
    <col min="31" max="31" width="12.7109375" customWidth="1"/>
    <col min="32" max="32" width="11.5703125" bestFit="1" customWidth="1"/>
    <col min="33" max="33" width="12.5703125" bestFit="1" customWidth="1"/>
    <col min="39" max="40" width="11.7109375" bestFit="1" customWidth="1"/>
    <col min="41" max="41" width="12.7109375" bestFit="1" customWidth="1"/>
    <col min="42" max="43" width="11.7109375" bestFit="1" customWidth="1"/>
    <col min="44" max="44" width="12.7109375" bestFit="1" customWidth="1"/>
    <col min="45" max="46" width="11.5703125" bestFit="1" customWidth="1"/>
    <col min="47" max="47" width="13.140625" bestFit="1" customWidth="1"/>
    <col min="48" max="48" width="10.5703125" bestFit="1" customWidth="1"/>
    <col min="49" max="49" width="11.5703125" bestFit="1" customWidth="1"/>
    <col min="50" max="50" width="12.5703125" bestFit="1" customWidth="1"/>
    <col min="56" max="62" width="11.7109375" bestFit="1" customWidth="1"/>
    <col min="63" max="63" width="12.140625" bestFit="1" customWidth="1"/>
    <col min="64" max="64" width="11.42578125" customWidth="1"/>
    <col min="65" max="65" width="10.7109375" bestFit="1" customWidth="1"/>
    <col min="66" max="66" width="11.7109375" bestFit="1" customWidth="1"/>
    <col min="67" max="67" width="12.7109375" bestFit="1" customWidth="1"/>
  </cols>
  <sheetData>
    <row r="4" spans="2:67" x14ac:dyDescent="0.25">
      <c r="B4" s="29" t="s">
        <v>273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X4" s="31" t="s">
        <v>274</v>
      </c>
      <c r="Y4" s="31"/>
      <c r="Z4" s="31"/>
      <c r="AA4" s="31"/>
      <c r="AB4" s="31"/>
      <c r="AC4" s="31"/>
      <c r="AD4" s="31"/>
      <c r="AE4" s="31"/>
      <c r="AF4" s="31"/>
      <c r="AG4" s="31"/>
      <c r="AL4" s="29" t="s">
        <v>275</v>
      </c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BC4" s="29" t="s">
        <v>276</v>
      </c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</row>
    <row r="5" spans="2:67" x14ac:dyDescent="0.25">
      <c r="C5" s="32" t="s">
        <v>398</v>
      </c>
      <c r="D5" s="32"/>
      <c r="E5" s="32"/>
      <c r="F5" s="32"/>
      <c r="G5" s="32"/>
      <c r="H5" s="32"/>
      <c r="I5" s="26" t="s">
        <v>396</v>
      </c>
      <c r="J5" s="27"/>
      <c r="K5" s="27"/>
      <c r="L5" s="27"/>
      <c r="M5" s="27"/>
      <c r="N5" s="28"/>
      <c r="O5" s="32" t="s">
        <v>388</v>
      </c>
      <c r="P5" s="32"/>
      <c r="Q5" s="32"/>
      <c r="R5" s="32"/>
      <c r="S5" s="32"/>
      <c r="Y5" s="32" t="s">
        <v>399</v>
      </c>
      <c r="Z5" s="32"/>
      <c r="AA5" s="26" t="s">
        <v>396</v>
      </c>
      <c r="AB5" s="28"/>
      <c r="AC5" s="32" t="s">
        <v>388</v>
      </c>
      <c r="AD5" s="32"/>
      <c r="AE5" s="32"/>
      <c r="AF5" s="32"/>
      <c r="AM5" s="32" t="s">
        <v>400</v>
      </c>
      <c r="AN5" s="32"/>
      <c r="AO5" s="32"/>
      <c r="AP5" s="26" t="s">
        <v>401</v>
      </c>
      <c r="AQ5" s="27"/>
      <c r="AR5" s="28"/>
      <c r="AS5" s="32" t="s">
        <v>388</v>
      </c>
      <c r="AT5" s="32"/>
      <c r="AU5" s="32"/>
      <c r="AV5" s="32"/>
      <c r="AW5" s="32"/>
      <c r="BD5" s="32" t="s">
        <v>387</v>
      </c>
      <c r="BE5" s="32"/>
      <c r="BF5" s="32"/>
      <c r="BG5" s="25"/>
      <c r="BH5" s="25"/>
      <c r="BI5" s="25"/>
      <c r="BJ5" s="32" t="s">
        <v>388</v>
      </c>
      <c r="BK5" s="32"/>
      <c r="BL5" s="32"/>
      <c r="BM5" s="32"/>
      <c r="BN5" s="32"/>
    </row>
    <row r="6" spans="2:67" ht="60.75" customHeight="1" x14ac:dyDescent="0.25">
      <c r="B6" s="23" t="s">
        <v>376</v>
      </c>
      <c r="C6" s="23" t="s">
        <v>369</v>
      </c>
      <c r="D6" s="23" t="s">
        <v>377</v>
      </c>
      <c r="E6" s="24" t="s">
        <v>378</v>
      </c>
      <c r="F6" s="24" t="s">
        <v>379</v>
      </c>
      <c r="G6" s="24" t="s">
        <v>380</v>
      </c>
      <c r="H6" s="24" t="s">
        <v>381</v>
      </c>
      <c r="I6" s="24" t="s">
        <v>369</v>
      </c>
      <c r="J6" s="24" t="s">
        <v>377</v>
      </c>
      <c r="K6" s="24" t="s">
        <v>397</v>
      </c>
      <c r="L6" s="24" t="s">
        <v>379</v>
      </c>
      <c r="M6" s="24" t="s">
        <v>380</v>
      </c>
      <c r="N6" s="24" t="s">
        <v>381</v>
      </c>
      <c r="O6" s="24" t="s">
        <v>213</v>
      </c>
      <c r="P6" s="24" t="s">
        <v>382</v>
      </c>
      <c r="Q6" s="24" t="s">
        <v>383</v>
      </c>
      <c r="R6" s="24" t="s">
        <v>384</v>
      </c>
      <c r="S6" s="24" t="s">
        <v>386</v>
      </c>
      <c r="T6" s="24" t="s">
        <v>389</v>
      </c>
      <c r="X6" s="23" t="s">
        <v>376</v>
      </c>
      <c r="Y6" s="23" t="s">
        <v>369</v>
      </c>
      <c r="Z6" s="24" t="s">
        <v>390</v>
      </c>
      <c r="AA6" s="24" t="s">
        <v>369</v>
      </c>
      <c r="AB6" s="24" t="s">
        <v>390</v>
      </c>
      <c r="AC6" s="24" t="s">
        <v>391</v>
      </c>
      <c r="AD6" s="24" t="s">
        <v>383</v>
      </c>
      <c r="AE6" s="24" t="s">
        <v>384</v>
      </c>
      <c r="AF6" s="24" t="s">
        <v>386</v>
      </c>
      <c r="AG6" s="24" t="s">
        <v>389</v>
      </c>
      <c r="AL6" s="23" t="s">
        <v>376</v>
      </c>
      <c r="AM6" s="23" t="s">
        <v>369</v>
      </c>
      <c r="AN6" s="24" t="s">
        <v>392</v>
      </c>
      <c r="AO6" s="24" t="s">
        <v>393</v>
      </c>
      <c r="AP6" s="24" t="s">
        <v>369</v>
      </c>
      <c r="AQ6" s="24" t="s">
        <v>392</v>
      </c>
      <c r="AR6" s="24" t="s">
        <v>393</v>
      </c>
      <c r="AS6" s="24" t="s">
        <v>213</v>
      </c>
      <c r="AT6" s="24" t="s">
        <v>383</v>
      </c>
      <c r="AU6" s="24" t="s">
        <v>394</v>
      </c>
      <c r="AV6" s="24" t="s">
        <v>395</v>
      </c>
      <c r="AW6" s="24" t="s">
        <v>386</v>
      </c>
      <c r="AX6" s="24" t="s">
        <v>389</v>
      </c>
      <c r="BC6" s="23" t="s">
        <v>376</v>
      </c>
      <c r="BD6" s="23" t="s">
        <v>369</v>
      </c>
      <c r="BE6" s="24" t="s">
        <v>392</v>
      </c>
      <c r="BF6" s="24" t="s">
        <v>393</v>
      </c>
      <c r="BG6" s="24" t="s">
        <v>369</v>
      </c>
      <c r="BH6" s="24" t="s">
        <v>392</v>
      </c>
      <c r="BI6" s="24" t="s">
        <v>393</v>
      </c>
      <c r="BJ6" s="24" t="s">
        <v>213</v>
      </c>
      <c r="BK6" s="24" t="s">
        <v>383</v>
      </c>
      <c r="BL6" s="24" t="s">
        <v>394</v>
      </c>
      <c r="BM6" s="24" t="s">
        <v>395</v>
      </c>
      <c r="BN6" s="24" t="s">
        <v>386</v>
      </c>
      <c r="BO6" s="24" t="s">
        <v>389</v>
      </c>
    </row>
    <row r="7" spans="2:67" x14ac:dyDescent="0.25">
      <c r="B7">
        <v>1</v>
      </c>
      <c r="C7" s="12">
        <f>IF(MOD(B7-1,HydrogenFC!$F$34)=0,HydrogenFC!$H$26*1000000*HydrogenFC!$F$42,0)</f>
        <v>30000000</v>
      </c>
      <c r="D7" s="12">
        <f>IF(MOD(B7-1,ROUND(HydrogenFC!$F$29/24/365,0))=0,HydrogenFC!$F$45,0)</f>
        <v>9671025.0000000019</v>
      </c>
      <c r="E7" s="12">
        <f>IF(MOD(B7-1,HydrogenFC!$F$30)=0,HydrogenFC!$F$46,0)</f>
        <v>535626.00000000012</v>
      </c>
      <c r="F7" s="14">
        <f>IF(MOD(B7-1,HydrogenFC!$F$31)=0,HydrogenFC!$F$47,0)</f>
        <v>0.72000000000000008</v>
      </c>
      <c r="G7" s="12">
        <f>IF(MOD(B7-1,HydrogenFC!$F$33)=0,HydrogenFC!$F$48+HydrogenFC!$F$49,0)</f>
        <v>825756.75</v>
      </c>
      <c r="H7" s="12">
        <f>IF(MOD(B7-1,HydrogenFC!$F$34)=0,HydrogenFC!$F$51,0)</f>
        <v>1175240.7750000001</v>
      </c>
      <c r="I7" s="12">
        <f t="shared" ref="I7:N7" si="0">C7</f>
        <v>30000000</v>
      </c>
      <c r="J7" s="12">
        <f t="shared" si="0"/>
        <v>9671025.0000000019</v>
      </c>
      <c r="K7" s="12">
        <f t="shared" si="0"/>
        <v>535626.00000000012</v>
      </c>
      <c r="L7" s="12">
        <f t="shared" si="0"/>
        <v>0.72000000000000008</v>
      </c>
      <c r="M7" s="12">
        <f t="shared" si="0"/>
        <v>825756.75</v>
      </c>
      <c r="N7" s="12">
        <f t="shared" si="0"/>
        <v>1175240.7750000001</v>
      </c>
      <c r="O7" s="12">
        <f>HydrogenFC!P37+HydrogenFC!P38+HydrogenFC!P39</f>
        <v>3298946.0980582377</v>
      </c>
      <c r="P7" s="12">
        <f>HydrogenFC!P36</f>
        <v>13460.353200000003</v>
      </c>
      <c r="Q7" s="12">
        <f>HydrogenFC!P40</f>
        <v>946080</v>
      </c>
      <c r="R7" s="12">
        <f>HydrogenFC!P41</f>
        <v>180000</v>
      </c>
      <c r="S7" s="12">
        <f>HydrogenFC!P42</f>
        <v>1286695.7364341086</v>
      </c>
      <c r="T7" s="12">
        <f>SUM(I7:S7)</f>
        <v>47932831.432692349</v>
      </c>
      <c r="X7">
        <v>1</v>
      </c>
      <c r="Y7" s="12">
        <f>IF(MOD(B7-1,Diesel!$E$27)=0,Diesel!$E$32*1000000,0)</f>
        <v>18000000</v>
      </c>
      <c r="Z7" s="12">
        <f>IF(MOD(B7-1,Diesel!$E$30)=0,Diesel!$E$35,0)</f>
        <v>3000000</v>
      </c>
      <c r="AA7" s="12">
        <f>Y7</f>
        <v>18000000</v>
      </c>
      <c r="AB7" s="12">
        <f>Z7</f>
        <v>3000000</v>
      </c>
      <c r="AC7" s="12">
        <f>Diesel!L20</f>
        <v>1103760</v>
      </c>
      <c r="AD7" s="12">
        <f>Diesel!L17*Diesel!E22</f>
        <v>1038060</v>
      </c>
      <c r="AE7" s="12">
        <f>Diesel!L18</f>
        <v>10350</v>
      </c>
      <c r="AF7" s="12">
        <f>Diesel!L19</f>
        <v>1286695.7364341086</v>
      </c>
      <c r="AG7" s="12">
        <f>SUM(AA7:AF7)</f>
        <v>24438865.73643411</v>
      </c>
      <c r="AL7">
        <v>1</v>
      </c>
      <c r="AM7" s="12">
        <f>IF(MOD(B7-1,Electric!$E$21)=0,Electric!E33*1000000,0)</f>
        <v>18000000</v>
      </c>
      <c r="AN7" s="12">
        <f>IF(MOD(B7-1,Electric!$E$22)=0,Electric!E34*1000000,0)</f>
        <v>21000000</v>
      </c>
      <c r="AO7" s="12">
        <f>IF(MOD(B7-1,Electric!$E$24)=0,Electric!$E$36*1000000,0)</f>
        <v>50000000</v>
      </c>
      <c r="AP7" s="12">
        <f>AM7</f>
        <v>18000000</v>
      </c>
      <c r="AQ7" s="12">
        <f>AN7</f>
        <v>21000000</v>
      </c>
      <c r="AR7" s="12">
        <f>AO7</f>
        <v>50000000</v>
      </c>
      <c r="AS7" s="12">
        <f>Electric!N22*General!D14</f>
        <v>499320.00000000006</v>
      </c>
      <c r="AT7" s="12">
        <f>Electric!N15*Electric!E27</f>
        <v>525600</v>
      </c>
      <c r="AU7" s="12">
        <f>Electric!N16*Electric!E28</f>
        <v>229800</v>
      </c>
      <c r="AV7" s="12">
        <f>Electric!N18*Electric!E30</f>
        <v>140000</v>
      </c>
      <c r="AW7" s="12">
        <f>Electric!N20</f>
        <v>1286695.7364341086</v>
      </c>
      <c r="AX7" s="12">
        <f>SUM(AP7:AW7)</f>
        <v>91681415.736434102</v>
      </c>
      <c r="BC7">
        <v>1</v>
      </c>
      <c r="BD7" s="12">
        <f>IF(MOD(B7-1,BatteryElectric!$E$21)=0,BatteryElectric!$E$34*1000000,0)</f>
        <v>26000000</v>
      </c>
      <c r="BE7" s="12">
        <f>IF(MOD(B7-1,BatteryElectric!$E$21)=0,BatteryElectric!$E$35*1000000,0)</f>
        <v>15000000</v>
      </c>
      <c r="BF7" s="12">
        <f>IF(MOD(B7-1,BatteryElectric!$E$24)=0,BatteryElectric!$E$37*1000000,0)</f>
        <v>12000000</v>
      </c>
      <c r="BG7" s="12">
        <f>BD7</f>
        <v>26000000</v>
      </c>
      <c r="BH7" s="12">
        <f>BE7</f>
        <v>15000000</v>
      </c>
      <c r="BI7" s="12">
        <f>BF7</f>
        <v>12000000</v>
      </c>
      <c r="BJ7" s="12">
        <f>BatteryElectric!N22*General!D14</f>
        <v>618352.9411764706</v>
      </c>
      <c r="BK7" s="12">
        <f>BatteryElectric!N15</f>
        <v>735840</v>
      </c>
      <c r="BL7" s="12">
        <f>BatteryElectric!N16*BatteryElectric!E29</f>
        <v>114900</v>
      </c>
      <c r="BM7" s="12">
        <f>BatteryElectric!N18*BatteryElectric!E31</f>
        <v>33600</v>
      </c>
      <c r="BN7" s="12">
        <f>BatteryElectric!N20</f>
        <v>1286695.7364341086</v>
      </c>
      <c r="BO7" s="12">
        <f>SUM(BG7:BN7)</f>
        <v>55789388.677610584</v>
      </c>
    </row>
    <row r="8" spans="2:67" x14ac:dyDescent="0.25">
      <c r="B8">
        <v>2</v>
      </c>
      <c r="C8" s="12">
        <f>IF(MOD(B8-1,HydrogenFC!$F$34)=0,HydrogenFC!$H$26*1000000*HydrogenFC!$F$42,0)</f>
        <v>0</v>
      </c>
      <c r="D8" s="12">
        <f>IF(MOD(B8-1,ROUND(HydrogenFC!$F$29/24/365,0))=0,HydrogenFC!$F$45,0)</f>
        <v>0</v>
      </c>
      <c r="E8" s="12">
        <f>IF(MOD(B8-1,HydrogenFC!$F$30)=0,HydrogenFC!$F$46,0)</f>
        <v>0</v>
      </c>
      <c r="F8" s="14">
        <f>IF(MOD(B8-1,HydrogenFC!$F$31)=0,HydrogenFC!$F$47,0)</f>
        <v>0</v>
      </c>
      <c r="G8" s="12">
        <f>IF(MOD(B8-1,HydrogenFC!$F$33)=0,HydrogenFC!$F$48+HydrogenFC!$F$49,0)</f>
        <v>0</v>
      </c>
      <c r="H8" s="12">
        <f>IF(MOD(B8-1,HydrogenFC!$F$34)=0,HydrogenFC!$F$51,0)</f>
        <v>0</v>
      </c>
      <c r="I8" s="12">
        <f>C8+I7</f>
        <v>30000000</v>
      </c>
      <c r="J8" s="12">
        <f>J7+D8</f>
        <v>9671025.0000000019</v>
      </c>
      <c r="K8" s="12">
        <f>K7+E8</f>
        <v>535626.00000000012</v>
      </c>
      <c r="L8" s="12">
        <f>L7+F8</f>
        <v>0.72000000000000008</v>
      </c>
      <c r="M8" s="12">
        <f>M7+G8</f>
        <v>825756.75</v>
      </c>
      <c r="N8" s="12">
        <f>N7+H8</f>
        <v>1175240.7750000001</v>
      </c>
      <c r="O8" s="12">
        <f>B8*$O$7</f>
        <v>6597892.1961164754</v>
      </c>
      <c r="P8" s="12">
        <f>B8*$P$7</f>
        <v>26920.706400000006</v>
      </c>
      <c r="Q8" s="12">
        <f>$Q$7*B8</f>
        <v>1892160</v>
      </c>
      <c r="R8" s="12">
        <f>$R$7*B8</f>
        <v>360000</v>
      </c>
      <c r="S8" s="12">
        <f>$S$7*B8</f>
        <v>2573391.4728682172</v>
      </c>
      <c r="T8" s="12">
        <f t="shared" ref="T8:T36" si="1">SUM(I8:S8)</f>
        <v>53658013.620384693</v>
      </c>
      <c r="X8">
        <f>1+X7</f>
        <v>2</v>
      </c>
      <c r="Y8" s="12">
        <f>IF(MOD(B8-1,Diesel!$E$27)=0,Diesel!$E$32*1000000,0)</f>
        <v>0</v>
      </c>
      <c r="Z8" s="12">
        <f>IF(MOD(B8-1,Diesel!$E$30)=0,Diesel!$E$35,0)</f>
        <v>0</v>
      </c>
      <c r="AA8" s="12">
        <f>AA7+Y8</f>
        <v>18000000</v>
      </c>
      <c r="AB8" s="12">
        <f>AB7+Z8</f>
        <v>3000000</v>
      </c>
      <c r="AC8" s="12">
        <f>$AC$7*X8</f>
        <v>2207520</v>
      </c>
      <c r="AD8" s="12">
        <f>$AD$7*X8</f>
        <v>2076120</v>
      </c>
      <c r="AE8" s="12">
        <f>$AE$7*X8</f>
        <v>20700</v>
      </c>
      <c r="AF8" s="12">
        <f>$AF$7*X8</f>
        <v>2573391.4728682172</v>
      </c>
      <c r="AG8" s="12">
        <f t="shared" ref="AG8:AG36" si="2">SUM(AA8:AF8)</f>
        <v>27877731.472868219</v>
      </c>
      <c r="AL8">
        <f>AL7+1</f>
        <v>2</v>
      </c>
      <c r="AM8" s="12">
        <f>IF(MOD(B8-1,Electric!$E$21)=0,Electric!E34*1000000,0)</f>
        <v>0</v>
      </c>
      <c r="AN8" s="12">
        <f>IF(MOD(B8-1,Electric!$E$22)=0,Electric!E35*1000000,0)</f>
        <v>0</v>
      </c>
      <c r="AO8" s="12">
        <f>IF(MOD(B8-1,Electric!$E$24)=0,Electric!$E$36*1000000,0)</f>
        <v>0</v>
      </c>
      <c r="AP8" s="12">
        <f>AP7+AM8</f>
        <v>18000000</v>
      </c>
      <c r="AQ8" s="12">
        <f>AQ7+AN8</f>
        <v>21000000</v>
      </c>
      <c r="AR8" s="12">
        <f>AR7+AO8</f>
        <v>50000000</v>
      </c>
      <c r="AS8" s="12">
        <f>$AS$7*AL8</f>
        <v>998640.00000000012</v>
      </c>
      <c r="AT8" s="12">
        <f>$AT$7*AL8</f>
        <v>1051200</v>
      </c>
      <c r="AU8" s="12">
        <f>$AU$7*AL8</f>
        <v>459600</v>
      </c>
      <c r="AV8" s="12">
        <f>$AV$7*AL8</f>
        <v>280000</v>
      </c>
      <c r="AW8" s="12">
        <f>$AW$7*AL8</f>
        <v>2573391.4728682172</v>
      </c>
      <c r="AX8" s="12">
        <f t="shared" ref="AX8:AX36" si="3">SUM(AP8:AW8)</f>
        <v>94362831.472868219</v>
      </c>
      <c r="BC8">
        <v>2</v>
      </c>
      <c r="BD8" s="12">
        <f>IF(MOD(B8-1,BatteryElectric!$E$21)=0,BatteryElectric!$E$34*1000000,0)</f>
        <v>0</v>
      </c>
      <c r="BE8" s="12">
        <f>IF(MOD(B8-1,BatteryElectric!$E$21)=0,BatteryElectric!$E$35*1000000,0)</f>
        <v>0</v>
      </c>
      <c r="BF8" s="12">
        <f>IF(MOD(B8-1,BatteryElectric!$E$24)=0,BatteryElectric!$E$37*1000000,0)</f>
        <v>0</v>
      </c>
      <c r="BG8" s="12">
        <f>BG7+BD8</f>
        <v>26000000</v>
      </c>
      <c r="BH8" s="12">
        <f>BH7+BE8</f>
        <v>15000000</v>
      </c>
      <c r="BI8" s="12">
        <f>BI7+BF8</f>
        <v>12000000</v>
      </c>
      <c r="BJ8" s="12">
        <f>$BJ$7*BC8</f>
        <v>1236705.8823529412</v>
      </c>
      <c r="BK8" s="12">
        <f>$BK$7*BC8</f>
        <v>1471680</v>
      </c>
      <c r="BL8" s="12">
        <f>$BL$7*BC8</f>
        <v>229800</v>
      </c>
      <c r="BM8" s="12">
        <f>$BM$7*BC8</f>
        <v>67200</v>
      </c>
      <c r="BN8" s="12">
        <f>$BN$7*BC8</f>
        <v>2573391.4728682172</v>
      </c>
      <c r="BO8" s="12">
        <f t="shared" ref="BO8:BO36" si="4">SUM(BG8:BN8)</f>
        <v>58578777.35522116</v>
      </c>
    </row>
    <row r="9" spans="2:67" x14ac:dyDescent="0.25">
      <c r="B9">
        <v>3</v>
      </c>
      <c r="C9" s="12">
        <f>IF(MOD(B9-1,HydrogenFC!$F$34)=0,HydrogenFC!$H$26*1000000*HydrogenFC!$F$42,0)</f>
        <v>0</v>
      </c>
      <c r="D9" s="12">
        <f>IF(MOD(B9-1,ROUND(HydrogenFC!$F$29/24/365,0))=0,HydrogenFC!$F$45,0)</f>
        <v>0</v>
      </c>
      <c r="E9" s="12">
        <f>IF(MOD(B9-1,HydrogenFC!$F$30)=0,HydrogenFC!$F$46,0)</f>
        <v>0</v>
      </c>
      <c r="F9" s="14">
        <f>IF(MOD(B9-1,HydrogenFC!$F$31)=0,HydrogenFC!$F$47,0)</f>
        <v>0</v>
      </c>
      <c r="G9" s="12">
        <f>IF(MOD(B9-1,HydrogenFC!$F$33)=0,HydrogenFC!$F$48+HydrogenFC!$F$49,0)</f>
        <v>0</v>
      </c>
      <c r="H9" s="12">
        <f>IF(MOD(B9-1,HydrogenFC!$F$34)=0,HydrogenFC!$F$51,0)</f>
        <v>0</v>
      </c>
      <c r="I9" s="12">
        <f t="shared" ref="I9:I36" si="5">C9+I8</f>
        <v>30000000</v>
      </c>
      <c r="J9" s="12">
        <f t="shared" ref="J9:J36" si="6">J8+D9</f>
        <v>9671025.0000000019</v>
      </c>
      <c r="K9" s="12">
        <f t="shared" ref="K9:K36" si="7">K8+E9</f>
        <v>535626.00000000012</v>
      </c>
      <c r="L9" s="12">
        <f t="shared" ref="L9:L36" si="8">L8+F9</f>
        <v>0.72000000000000008</v>
      </c>
      <c r="M9" s="12">
        <f t="shared" ref="M9:M36" si="9">M8+G9</f>
        <v>825756.75</v>
      </c>
      <c r="N9" s="12">
        <f t="shared" ref="N9:N36" si="10">N8+H9</f>
        <v>1175240.7750000001</v>
      </c>
      <c r="O9" s="12">
        <f>B9*$O$7</f>
        <v>9896838.2941747122</v>
      </c>
      <c r="P9" s="12">
        <f t="shared" ref="P9:P36" si="11">B9*$P$7</f>
        <v>40381.059600000008</v>
      </c>
      <c r="Q9" s="12">
        <f t="shared" ref="Q9:Q36" si="12">$Q$7*B9</f>
        <v>2838240</v>
      </c>
      <c r="R9" s="12">
        <f t="shared" ref="R9:R36" si="13">$R$7*B9</f>
        <v>540000</v>
      </c>
      <c r="S9" s="12">
        <f t="shared" ref="S9:S36" si="14">$S$7*B9</f>
        <v>3860087.2093023257</v>
      </c>
      <c r="T9" s="12">
        <f t="shared" si="1"/>
        <v>59383195.808077037</v>
      </c>
      <c r="X9">
        <f t="shared" ref="X9:X36" si="15">1+X8</f>
        <v>3</v>
      </c>
      <c r="Y9" s="12">
        <f>IF(MOD(B9-1,Diesel!$E$27)=0,Diesel!$E$32*1000000,0)</f>
        <v>0</v>
      </c>
      <c r="Z9" s="12">
        <f>IF(MOD(B9-1,Diesel!$E$30)=0,Diesel!$E$35,0)</f>
        <v>0</v>
      </c>
      <c r="AA9" s="12">
        <f t="shared" ref="AA9:AA36" si="16">AA8+Y9</f>
        <v>18000000</v>
      </c>
      <c r="AB9" s="12">
        <f t="shared" ref="AB9:AB36" si="17">AB8+Z9</f>
        <v>3000000</v>
      </c>
      <c r="AC9" s="12">
        <f t="shared" ref="AC9:AC36" si="18">$AC$7*X9</f>
        <v>3311280</v>
      </c>
      <c r="AD9" s="12">
        <f t="shared" ref="AD9:AD36" si="19">$AD$7*X9</f>
        <v>3114180</v>
      </c>
      <c r="AE9" s="12">
        <f t="shared" ref="AE9:AE36" si="20">$AE$7*X9</f>
        <v>31050</v>
      </c>
      <c r="AF9" s="12">
        <f t="shared" ref="AF9:AF36" si="21">$AF$7*X9</f>
        <v>3860087.2093023257</v>
      </c>
      <c r="AG9" s="12">
        <f t="shared" si="2"/>
        <v>31316597.209302325</v>
      </c>
      <c r="AL9">
        <f t="shared" ref="AL9:AL36" si="22">AL8+1</f>
        <v>3</v>
      </c>
      <c r="AM9" s="12">
        <f>IF(MOD(B9-1,Electric!$E$21)=0,Electric!E35*1000000,0)</f>
        <v>0</v>
      </c>
      <c r="AN9" s="12">
        <f>IF(MOD(B9-1,Electric!$E$22)=0,Electric!E36*1000000,0)</f>
        <v>0</v>
      </c>
      <c r="AO9" s="12">
        <f>IF(MOD(B9-1,Electric!$E$24)=0,Electric!$E$36*1000000,0)</f>
        <v>0</v>
      </c>
      <c r="AP9" s="12">
        <f t="shared" ref="AP9:AP36" si="23">AP8+AM8</f>
        <v>18000000</v>
      </c>
      <c r="AQ9" s="12">
        <f t="shared" ref="AQ9:AQ36" si="24">AQ8+AN9</f>
        <v>21000000</v>
      </c>
      <c r="AR9" s="12">
        <f t="shared" ref="AR9:AR36" si="25">AR8+AO8</f>
        <v>50000000</v>
      </c>
      <c r="AS9" s="12">
        <f t="shared" ref="AS9:AS36" si="26">$AS$7*AL9</f>
        <v>1497960.0000000002</v>
      </c>
      <c r="AT9" s="12">
        <f t="shared" ref="AT9:AT36" si="27">$AT$7*AL9</f>
        <v>1576800</v>
      </c>
      <c r="AU9" s="12">
        <f t="shared" ref="AU9:AU36" si="28">$AU$7*AL9</f>
        <v>689400</v>
      </c>
      <c r="AV9" s="12">
        <f t="shared" ref="AV9:AV36" si="29">$AV$7*AL9</f>
        <v>420000</v>
      </c>
      <c r="AW9" s="12">
        <f t="shared" ref="AW9:AW36" si="30">$AW$7*AL9</f>
        <v>3860087.2093023257</v>
      </c>
      <c r="AX9" s="12">
        <f t="shared" si="3"/>
        <v>97044247.209302321</v>
      </c>
      <c r="BC9">
        <f>BC8+1</f>
        <v>3</v>
      </c>
      <c r="BD9" s="12">
        <f>IF(MOD(B9-1,BatteryElectric!$E$21)=0,BatteryElectric!$E$34*1000000,0)</f>
        <v>0</v>
      </c>
      <c r="BE9" s="12">
        <f>IF(MOD(B9-1,BatteryElectric!$E$21)=0,BatteryElectric!$E$35*1000000,0)</f>
        <v>0</v>
      </c>
      <c r="BF9" s="12">
        <f>IF(MOD(B9-1,BatteryElectric!$E$24)=0,BatteryElectric!$E$37*1000000,0)</f>
        <v>0</v>
      </c>
      <c r="BG9" s="12">
        <f t="shared" ref="BG9:BG36" si="31">BG8+BD9</f>
        <v>26000000</v>
      </c>
      <c r="BH9" s="12">
        <f t="shared" ref="BH9:BH36" si="32">BH8+BE9</f>
        <v>15000000</v>
      </c>
      <c r="BI9" s="12">
        <f t="shared" ref="BI9:BI36" si="33">BI8+BF9</f>
        <v>12000000</v>
      </c>
      <c r="BJ9" s="12">
        <f t="shared" ref="BJ9:BJ36" si="34">$BJ$7*BC9</f>
        <v>1855058.8235294118</v>
      </c>
      <c r="BK9" s="12">
        <f t="shared" ref="BK9:BK36" si="35">$BK$7*BC9</f>
        <v>2207520</v>
      </c>
      <c r="BL9" s="12">
        <f t="shared" ref="BL9:BL36" si="36">$BL$7*BC9</f>
        <v>344700</v>
      </c>
      <c r="BM9" s="12">
        <f t="shared" ref="BM9:BM36" si="37">$BM$7*BC9</f>
        <v>100800</v>
      </c>
      <c r="BN9" s="12">
        <f t="shared" ref="BN9:BN36" si="38">$BN$7*BC9</f>
        <v>3860087.2093023257</v>
      </c>
      <c r="BO9" s="12">
        <f t="shared" si="4"/>
        <v>61368166.032831743</v>
      </c>
    </row>
    <row r="10" spans="2:67" x14ac:dyDescent="0.25">
      <c r="B10">
        <f>B9+1</f>
        <v>4</v>
      </c>
      <c r="C10" s="12">
        <f>IF(MOD(B10-1,HydrogenFC!$F$34)=0,HydrogenFC!$H$26*1000000*HydrogenFC!$F$42,0)</f>
        <v>0</v>
      </c>
      <c r="D10" s="12">
        <f>IF(MOD(B10-1,ROUND(HydrogenFC!$F$29/24/365,0))=0,HydrogenFC!$F$45,0)</f>
        <v>0</v>
      </c>
      <c r="E10" s="12">
        <f>IF(MOD(B10-1,HydrogenFC!$F$30)=0,HydrogenFC!$F$46,0)</f>
        <v>0</v>
      </c>
      <c r="F10" s="14">
        <f>IF(MOD(B10-1,HydrogenFC!$F$31)=0,HydrogenFC!$F$47,0)</f>
        <v>0</v>
      </c>
      <c r="G10" s="12">
        <f>IF(MOD(B10-1,HydrogenFC!$F$33)=0,HydrogenFC!$F$48+HydrogenFC!$F$49,0)</f>
        <v>0</v>
      </c>
      <c r="H10" s="12">
        <f>IF(MOD(B10-1,HydrogenFC!$F$34)=0,HydrogenFC!$F$51,0)</f>
        <v>0</v>
      </c>
      <c r="I10" s="12">
        <f t="shared" si="5"/>
        <v>30000000</v>
      </c>
      <c r="J10" s="12">
        <f t="shared" si="6"/>
        <v>9671025.0000000019</v>
      </c>
      <c r="K10" s="12">
        <f t="shared" si="7"/>
        <v>535626.00000000012</v>
      </c>
      <c r="L10" s="12">
        <f t="shared" si="8"/>
        <v>0.72000000000000008</v>
      </c>
      <c r="M10" s="12">
        <f t="shared" si="9"/>
        <v>825756.75</v>
      </c>
      <c r="N10" s="12">
        <f t="shared" si="10"/>
        <v>1175240.7750000001</v>
      </c>
      <c r="O10" s="12">
        <f t="shared" ref="O10:O36" si="39">B10*$O$7</f>
        <v>13195784.392232951</v>
      </c>
      <c r="P10" s="12">
        <f t="shared" si="11"/>
        <v>53841.412800000013</v>
      </c>
      <c r="Q10" s="12">
        <f t="shared" si="12"/>
        <v>3784320</v>
      </c>
      <c r="R10" s="12">
        <f t="shared" si="13"/>
        <v>720000</v>
      </c>
      <c r="S10" s="12">
        <f t="shared" si="14"/>
        <v>5146782.9457364343</v>
      </c>
      <c r="T10" s="12">
        <f t="shared" si="1"/>
        <v>65108377.995769382</v>
      </c>
      <c r="X10">
        <f t="shared" si="15"/>
        <v>4</v>
      </c>
      <c r="Y10" s="12">
        <f>IF(MOD(B10-1,Diesel!$E$27)=0,Diesel!$E$32*1000000,0)</f>
        <v>0</v>
      </c>
      <c r="Z10" s="12">
        <f>IF(MOD(B10-1,Diesel!$E$30)=0,Diesel!$E$35,0)</f>
        <v>0</v>
      </c>
      <c r="AA10" s="12">
        <f t="shared" si="16"/>
        <v>18000000</v>
      </c>
      <c r="AB10" s="12">
        <f t="shared" si="17"/>
        <v>3000000</v>
      </c>
      <c r="AC10" s="12">
        <f t="shared" si="18"/>
        <v>4415040</v>
      </c>
      <c r="AD10" s="12">
        <f t="shared" si="19"/>
        <v>4152240</v>
      </c>
      <c r="AE10" s="12">
        <f t="shared" si="20"/>
        <v>41400</v>
      </c>
      <c r="AF10" s="12">
        <f t="shared" si="21"/>
        <v>5146782.9457364343</v>
      </c>
      <c r="AG10" s="12">
        <f t="shared" si="2"/>
        <v>34755462.945736438</v>
      </c>
      <c r="AL10">
        <f t="shared" si="22"/>
        <v>4</v>
      </c>
      <c r="AM10" s="12">
        <f>IF(MOD(B10-1,Electric!$E$21)=0,Electric!E36*1000000,0)</f>
        <v>0</v>
      </c>
      <c r="AN10" s="12">
        <f>IF(MOD(B10-1,Electric!$E$22)=0,Electric!E37*1000000,0)</f>
        <v>0</v>
      </c>
      <c r="AO10" s="12">
        <f>IF(MOD(B10-1,Electric!$E$24)=0,Electric!$E$36*1000000,0)</f>
        <v>0</v>
      </c>
      <c r="AP10" s="12">
        <f t="shared" si="23"/>
        <v>18000000</v>
      </c>
      <c r="AQ10" s="12">
        <f t="shared" si="24"/>
        <v>21000000</v>
      </c>
      <c r="AR10" s="12">
        <f t="shared" si="25"/>
        <v>50000000</v>
      </c>
      <c r="AS10" s="12">
        <f t="shared" si="26"/>
        <v>1997280.0000000002</v>
      </c>
      <c r="AT10" s="12">
        <f t="shared" si="27"/>
        <v>2102400</v>
      </c>
      <c r="AU10" s="12">
        <f t="shared" si="28"/>
        <v>919200</v>
      </c>
      <c r="AV10" s="12">
        <f t="shared" si="29"/>
        <v>560000</v>
      </c>
      <c r="AW10" s="12">
        <f t="shared" si="30"/>
        <v>5146782.9457364343</v>
      </c>
      <c r="AX10" s="12">
        <f t="shared" si="3"/>
        <v>99725662.945736438</v>
      </c>
      <c r="BC10">
        <f t="shared" ref="BC10:BC36" si="40">BC9+1</f>
        <v>4</v>
      </c>
      <c r="BD10" s="12">
        <f>IF(MOD(B10-1,BatteryElectric!$E$21)=0,BatteryElectric!$E$34*1000000,0)</f>
        <v>0</v>
      </c>
      <c r="BE10" s="12">
        <f>IF(MOD(B10-1,BatteryElectric!$E$21)=0,BatteryElectric!$E$35*1000000,0)</f>
        <v>0</v>
      </c>
      <c r="BF10" s="12">
        <f>IF(MOD(B10-1,BatteryElectric!$E$24)=0,BatteryElectric!$E$37*1000000,0)</f>
        <v>0</v>
      </c>
      <c r="BG10" s="12">
        <f t="shared" si="31"/>
        <v>26000000</v>
      </c>
      <c r="BH10" s="12">
        <f t="shared" si="32"/>
        <v>15000000</v>
      </c>
      <c r="BI10" s="12">
        <f t="shared" si="33"/>
        <v>12000000</v>
      </c>
      <c r="BJ10" s="12">
        <f t="shared" si="34"/>
        <v>2473411.7647058824</v>
      </c>
      <c r="BK10" s="12">
        <f t="shared" si="35"/>
        <v>2943360</v>
      </c>
      <c r="BL10" s="12">
        <f t="shared" si="36"/>
        <v>459600</v>
      </c>
      <c r="BM10" s="12">
        <f t="shared" si="37"/>
        <v>134400</v>
      </c>
      <c r="BN10" s="12">
        <f t="shared" si="38"/>
        <v>5146782.9457364343</v>
      </c>
      <c r="BO10" s="12">
        <f t="shared" si="4"/>
        <v>64157554.71044232</v>
      </c>
    </row>
    <row r="11" spans="2:67" x14ac:dyDescent="0.25">
      <c r="B11">
        <f t="shared" ref="B11:B35" si="41">B10+1</f>
        <v>5</v>
      </c>
      <c r="C11" s="12">
        <f>IF(MOD(B11-1,HydrogenFC!$F$34)=0,HydrogenFC!$H$26*1000000*HydrogenFC!$F$42,0)</f>
        <v>0</v>
      </c>
      <c r="D11" s="12">
        <f>IF(MOD(B11-1,ROUND(HydrogenFC!$F$29/24/365,0))=0,HydrogenFC!$F$45,0)</f>
        <v>0</v>
      </c>
      <c r="E11" s="12">
        <f>IF(MOD(B11-1,HydrogenFC!$F$30)=0,HydrogenFC!$F$46,0)</f>
        <v>0</v>
      </c>
      <c r="F11" s="14">
        <f>IF(MOD(B11-1,HydrogenFC!$F$31)=0,HydrogenFC!$F$47,0)</f>
        <v>0</v>
      </c>
      <c r="G11" s="12">
        <f>IF(MOD(B11-1,HydrogenFC!$F$33)=0,HydrogenFC!$F$48+HydrogenFC!$F$49,0)</f>
        <v>0</v>
      </c>
      <c r="H11" s="12">
        <f>IF(MOD(B11-1,HydrogenFC!$F$34)=0,HydrogenFC!$F$51,0)</f>
        <v>0</v>
      </c>
      <c r="I11" s="12">
        <f t="shared" si="5"/>
        <v>30000000</v>
      </c>
      <c r="J11" s="12">
        <f t="shared" si="6"/>
        <v>9671025.0000000019</v>
      </c>
      <c r="K11" s="12">
        <f t="shared" si="7"/>
        <v>535626.00000000012</v>
      </c>
      <c r="L11" s="12">
        <f t="shared" si="8"/>
        <v>0.72000000000000008</v>
      </c>
      <c r="M11" s="12">
        <f t="shared" si="9"/>
        <v>825756.75</v>
      </c>
      <c r="N11" s="12">
        <f t="shared" si="10"/>
        <v>1175240.7750000001</v>
      </c>
      <c r="O11" s="12">
        <f t="shared" si="39"/>
        <v>16494730.490291189</v>
      </c>
      <c r="P11" s="12">
        <f t="shared" si="11"/>
        <v>67301.766000000018</v>
      </c>
      <c r="Q11" s="12">
        <f t="shared" si="12"/>
        <v>4730400</v>
      </c>
      <c r="R11" s="12">
        <f t="shared" si="13"/>
        <v>900000</v>
      </c>
      <c r="S11" s="12">
        <f t="shared" si="14"/>
        <v>6433478.6821705429</v>
      </c>
      <c r="T11" s="12">
        <f t="shared" si="1"/>
        <v>70833560.183461726</v>
      </c>
      <c r="X11">
        <f t="shared" si="15"/>
        <v>5</v>
      </c>
      <c r="Y11" s="12">
        <f>IF(MOD(B11-1,Diesel!$E$27)=0,Diesel!$E$32*1000000,0)</f>
        <v>0</v>
      </c>
      <c r="Z11" s="12">
        <f>IF(MOD(B11-1,Diesel!$E$30)=0,Diesel!$E$35,0)</f>
        <v>0</v>
      </c>
      <c r="AA11" s="12">
        <f t="shared" si="16"/>
        <v>18000000</v>
      </c>
      <c r="AB11" s="12">
        <f t="shared" si="17"/>
        <v>3000000</v>
      </c>
      <c r="AC11" s="12">
        <f t="shared" si="18"/>
        <v>5518800</v>
      </c>
      <c r="AD11" s="12">
        <f t="shared" si="19"/>
        <v>5190300</v>
      </c>
      <c r="AE11" s="12">
        <f t="shared" si="20"/>
        <v>51750</v>
      </c>
      <c r="AF11" s="12">
        <f t="shared" si="21"/>
        <v>6433478.6821705429</v>
      </c>
      <c r="AG11" s="12">
        <f t="shared" si="2"/>
        <v>38194328.68217054</v>
      </c>
      <c r="AL11">
        <f t="shared" si="22"/>
        <v>5</v>
      </c>
      <c r="AM11" s="12">
        <f>IF(MOD(B11-1,Electric!$E$21)=0,Electric!E37*1000000,0)</f>
        <v>0</v>
      </c>
      <c r="AN11" s="12">
        <f>IF(MOD(B11-1,Electric!$E$22)=0,Electric!E38*1000000,0)</f>
        <v>0</v>
      </c>
      <c r="AO11" s="12">
        <f>IF(MOD(B11-1,Electric!$E$24)=0,Electric!$E$36*1000000,0)</f>
        <v>0</v>
      </c>
      <c r="AP11" s="12">
        <f t="shared" si="23"/>
        <v>18000000</v>
      </c>
      <c r="AQ11" s="12">
        <f t="shared" si="24"/>
        <v>21000000</v>
      </c>
      <c r="AR11" s="12">
        <f t="shared" si="25"/>
        <v>50000000</v>
      </c>
      <c r="AS11" s="12">
        <f t="shared" si="26"/>
        <v>2496600.0000000005</v>
      </c>
      <c r="AT11" s="12">
        <f t="shared" si="27"/>
        <v>2628000</v>
      </c>
      <c r="AU11" s="12">
        <f t="shared" si="28"/>
        <v>1149000</v>
      </c>
      <c r="AV11" s="12">
        <f t="shared" si="29"/>
        <v>700000</v>
      </c>
      <c r="AW11" s="12">
        <f t="shared" si="30"/>
        <v>6433478.6821705429</v>
      </c>
      <c r="AX11" s="12">
        <f t="shared" si="3"/>
        <v>102407078.68217054</v>
      </c>
      <c r="BC11">
        <f t="shared" si="40"/>
        <v>5</v>
      </c>
      <c r="BD11" s="12">
        <f>IF(MOD(B11-1,BatteryElectric!$E$21)=0,BatteryElectric!$E$34*1000000,0)</f>
        <v>0</v>
      </c>
      <c r="BE11" s="12">
        <f>IF(MOD(B11-1,BatteryElectric!$E$21)=0,BatteryElectric!$E$35*1000000,0)</f>
        <v>0</v>
      </c>
      <c r="BF11" s="12">
        <f>IF(MOD(B11-1,BatteryElectric!$E$24)=0,BatteryElectric!$E$37*1000000,0)</f>
        <v>0</v>
      </c>
      <c r="BG11" s="12">
        <f t="shared" si="31"/>
        <v>26000000</v>
      </c>
      <c r="BH11" s="12">
        <f t="shared" si="32"/>
        <v>15000000</v>
      </c>
      <c r="BI11" s="12">
        <f t="shared" si="33"/>
        <v>12000000</v>
      </c>
      <c r="BJ11" s="12">
        <f t="shared" si="34"/>
        <v>3091764.7058823528</v>
      </c>
      <c r="BK11" s="12">
        <f t="shared" si="35"/>
        <v>3679200</v>
      </c>
      <c r="BL11" s="12">
        <f t="shared" si="36"/>
        <v>574500</v>
      </c>
      <c r="BM11" s="12">
        <f t="shared" si="37"/>
        <v>168000</v>
      </c>
      <c r="BN11" s="12">
        <f t="shared" si="38"/>
        <v>6433478.6821705429</v>
      </c>
      <c r="BO11" s="12">
        <f t="shared" si="4"/>
        <v>66946943.388052896</v>
      </c>
    </row>
    <row r="12" spans="2:67" x14ac:dyDescent="0.25">
      <c r="B12">
        <f t="shared" si="41"/>
        <v>6</v>
      </c>
      <c r="C12" s="12">
        <f>IF(MOD(B12-1,HydrogenFC!$F$34)=0,HydrogenFC!$H$26*1000000*HydrogenFC!$F$42,0)</f>
        <v>0</v>
      </c>
      <c r="D12" s="12">
        <f>IF(MOD(B12-1,ROUND(HydrogenFC!$F$29/24/365,0))=0,HydrogenFC!$F$45,0)</f>
        <v>0</v>
      </c>
      <c r="E12" s="12">
        <f>IF(MOD(B12-1,HydrogenFC!$F$30)=0,HydrogenFC!$F$46,0)</f>
        <v>0</v>
      </c>
      <c r="F12" s="14">
        <f>IF(MOD(B12-1,HydrogenFC!$F$31)=0,HydrogenFC!$F$47,0)</f>
        <v>0</v>
      </c>
      <c r="G12" s="12">
        <f>IF(MOD(B12-1,HydrogenFC!$F$33)=0,HydrogenFC!$F$48+HydrogenFC!$F$49,0)</f>
        <v>0</v>
      </c>
      <c r="H12" s="12">
        <f>IF(MOD(B12-1,HydrogenFC!$F$34)=0,HydrogenFC!$F$51,0)</f>
        <v>0</v>
      </c>
      <c r="I12" s="12">
        <f t="shared" si="5"/>
        <v>30000000</v>
      </c>
      <c r="J12" s="12">
        <f t="shared" si="6"/>
        <v>9671025.0000000019</v>
      </c>
      <c r="K12" s="12">
        <f t="shared" si="7"/>
        <v>535626.00000000012</v>
      </c>
      <c r="L12" s="12">
        <f t="shared" si="8"/>
        <v>0.72000000000000008</v>
      </c>
      <c r="M12" s="12">
        <f t="shared" si="9"/>
        <v>825756.75</v>
      </c>
      <c r="N12" s="12">
        <f t="shared" si="10"/>
        <v>1175240.7750000001</v>
      </c>
      <c r="O12" s="12">
        <f t="shared" si="39"/>
        <v>19793676.588349424</v>
      </c>
      <c r="P12" s="12">
        <f t="shared" si="11"/>
        <v>80762.119200000016</v>
      </c>
      <c r="Q12" s="12">
        <f t="shared" si="12"/>
        <v>5676480</v>
      </c>
      <c r="R12" s="12">
        <f t="shared" si="13"/>
        <v>1080000</v>
      </c>
      <c r="S12" s="12">
        <f t="shared" si="14"/>
        <v>7720174.4186046515</v>
      </c>
      <c r="T12" s="12">
        <f t="shared" si="1"/>
        <v>76558742.371154085</v>
      </c>
      <c r="X12">
        <f t="shared" si="15"/>
        <v>6</v>
      </c>
      <c r="Y12" s="12">
        <f>IF(MOD(B12-1,Diesel!$E$27)=0,Diesel!$E$32*1000000,0)</f>
        <v>0</v>
      </c>
      <c r="Z12" s="12">
        <f>IF(MOD(B12-1,Diesel!$E$30)=0,Diesel!$E$35,0)</f>
        <v>0</v>
      </c>
      <c r="AA12" s="12">
        <f t="shared" si="16"/>
        <v>18000000</v>
      </c>
      <c r="AB12" s="12">
        <f t="shared" si="17"/>
        <v>3000000</v>
      </c>
      <c r="AC12" s="12">
        <f t="shared" si="18"/>
        <v>6622560</v>
      </c>
      <c r="AD12" s="12">
        <f t="shared" si="19"/>
        <v>6228360</v>
      </c>
      <c r="AE12" s="12">
        <f t="shared" si="20"/>
        <v>62100</v>
      </c>
      <c r="AF12" s="12">
        <f t="shared" si="21"/>
        <v>7720174.4186046515</v>
      </c>
      <c r="AG12" s="12">
        <f t="shared" si="2"/>
        <v>41633194.41860465</v>
      </c>
      <c r="AL12">
        <f t="shared" si="22"/>
        <v>6</v>
      </c>
      <c r="AM12" s="12">
        <f>IF(MOD(B12-1,Electric!$E$21)=0,Electric!E38*1000000,0)</f>
        <v>0</v>
      </c>
      <c r="AN12" s="12">
        <f>IF(MOD(B12-1,Electric!$E$22)=0,Electric!E39*1000000,0)</f>
        <v>0</v>
      </c>
      <c r="AO12" s="12">
        <f>IF(MOD(B12-1,Electric!$E$24)=0,Electric!$E$36*1000000,0)</f>
        <v>0</v>
      </c>
      <c r="AP12" s="12">
        <f t="shared" si="23"/>
        <v>18000000</v>
      </c>
      <c r="AQ12" s="12">
        <f t="shared" si="24"/>
        <v>21000000</v>
      </c>
      <c r="AR12" s="12">
        <f t="shared" si="25"/>
        <v>50000000</v>
      </c>
      <c r="AS12" s="12">
        <f t="shared" si="26"/>
        <v>2995920.0000000005</v>
      </c>
      <c r="AT12" s="12">
        <f t="shared" si="27"/>
        <v>3153600</v>
      </c>
      <c r="AU12" s="12">
        <f t="shared" si="28"/>
        <v>1378800</v>
      </c>
      <c r="AV12" s="12">
        <f t="shared" si="29"/>
        <v>840000</v>
      </c>
      <c r="AW12" s="12">
        <f t="shared" si="30"/>
        <v>7720174.4186046515</v>
      </c>
      <c r="AX12" s="12">
        <f>SUM(AP12:AW12)</f>
        <v>105088494.41860466</v>
      </c>
      <c r="BC12">
        <f t="shared" si="40"/>
        <v>6</v>
      </c>
      <c r="BD12" s="12">
        <f>IF(MOD(B12-1,BatteryElectric!$E$21)=0,BatteryElectric!$E$34*1000000,0)</f>
        <v>0</v>
      </c>
      <c r="BE12" s="12">
        <f>IF(MOD(B12-1,BatteryElectric!$E$21)=0,BatteryElectric!$E$35*1000000,0)</f>
        <v>0</v>
      </c>
      <c r="BF12" s="12">
        <f>IF(MOD(B12-1,BatteryElectric!$E$24)=0,BatteryElectric!$E$37*1000000,0)</f>
        <v>0</v>
      </c>
      <c r="BG12" s="12">
        <f t="shared" si="31"/>
        <v>26000000</v>
      </c>
      <c r="BH12" s="12">
        <f t="shared" si="32"/>
        <v>15000000</v>
      </c>
      <c r="BI12" s="12">
        <f t="shared" si="33"/>
        <v>12000000</v>
      </c>
      <c r="BJ12" s="12">
        <f t="shared" si="34"/>
        <v>3710117.6470588236</v>
      </c>
      <c r="BK12" s="12">
        <f t="shared" si="35"/>
        <v>4415040</v>
      </c>
      <c r="BL12" s="12">
        <f t="shared" si="36"/>
        <v>689400</v>
      </c>
      <c r="BM12" s="12">
        <f t="shared" si="37"/>
        <v>201600</v>
      </c>
      <c r="BN12" s="12">
        <f t="shared" si="38"/>
        <v>7720174.4186046515</v>
      </c>
      <c r="BO12" s="12">
        <f t="shared" si="4"/>
        <v>69736332.065663472</v>
      </c>
    </row>
    <row r="13" spans="2:67" x14ac:dyDescent="0.25">
      <c r="B13">
        <f t="shared" si="41"/>
        <v>7</v>
      </c>
      <c r="C13" s="12">
        <f>IF(MOD(B13-1,HydrogenFC!$F$34)=0,HydrogenFC!$H$26*1000000*HydrogenFC!$F$42,0)</f>
        <v>0</v>
      </c>
      <c r="D13" s="12">
        <f>IF(MOD(B13-1,ROUND(HydrogenFC!$F$29/24/365,0))=0,HydrogenFC!$F$45,0)</f>
        <v>9671025.0000000019</v>
      </c>
      <c r="E13" s="12">
        <f>IF(MOD(B13-1,HydrogenFC!$F$30)=0,HydrogenFC!$F$46,0)</f>
        <v>0</v>
      </c>
      <c r="F13" s="14">
        <f>IF(MOD(B13-1,HydrogenFC!$F$31)=0,HydrogenFC!$F$47,0)</f>
        <v>0</v>
      </c>
      <c r="G13" s="12">
        <f>IF(MOD(B13-1,HydrogenFC!$F$33)=0,HydrogenFC!$F$48+HydrogenFC!$F$49,0)</f>
        <v>0</v>
      </c>
      <c r="H13" s="12">
        <f>IF(MOD(B13-1,HydrogenFC!$F$34)=0,HydrogenFC!$F$51,0)</f>
        <v>0</v>
      </c>
      <c r="I13" s="12">
        <f t="shared" si="5"/>
        <v>30000000</v>
      </c>
      <c r="J13" s="12">
        <f t="shared" si="6"/>
        <v>19342050.000000004</v>
      </c>
      <c r="K13" s="12">
        <f t="shared" si="7"/>
        <v>535626.00000000012</v>
      </c>
      <c r="L13" s="12">
        <f t="shared" si="8"/>
        <v>0.72000000000000008</v>
      </c>
      <c r="M13" s="12">
        <f t="shared" si="9"/>
        <v>825756.75</v>
      </c>
      <c r="N13" s="12">
        <f t="shared" si="10"/>
        <v>1175240.7750000001</v>
      </c>
      <c r="O13" s="12">
        <f t="shared" si="39"/>
        <v>23092622.686407663</v>
      </c>
      <c r="P13" s="12">
        <f t="shared" si="11"/>
        <v>94222.472400000028</v>
      </c>
      <c r="Q13" s="12">
        <f t="shared" si="12"/>
        <v>6622560</v>
      </c>
      <c r="R13" s="12">
        <f t="shared" si="13"/>
        <v>1260000</v>
      </c>
      <c r="S13" s="12">
        <f t="shared" si="14"/>
        <v>9006870.1550387591</v>
      </c>
      <c r="T13" s="12">
        <f t="shared" si="1"/>
        <v>91954949.558846414</v>
      </c>
      <c r="X13">
        <f t="shared" si="15"/>
        <v>7</v>
      </c>
      <c r="Y13" s="12">
        <f>IF(MOD(B13-1,Diesel!$E$27)=0,Diesel!$E$32*1000000,0)</f>
        <v>0</v>
      </c>
      <c r="Z13" s="12">
        <f>IF(MOD(B13-1,Diesel!$E$30)=0,Diesel!$E$35,0)</f>
        <v>0</v>
      </c>
      <c r="AA13" s="12">
        <f t="shared" si="16"/>
        <v>18000000</v>
      </c>
      <c r="AB13" s="12">
        <f t="shared" si="17"/>
        <v>3000000</v>
      </c>
      <c r="AC13" s="12">
        <f t="shared" si="18"/>
        <v>7726320</v>
      </c>
      <c r="AD13" s="12">
        <f t="shared" si="19"/>
        <v>7266420</v>
      </c>
      <c r="AE13" s="12">
        <f t="shared" si="20"/>
        <v>72450</v>
      </c>
      <c r="AF13" s="12">
        <f t="shared" si="21"/>
        <v>9006870.1550387591</v>
      </c>
      <c r="AG13" s="12">
        <f t="shared" si="2"/>
        <v>45072060.155038759</v>
      </c>
      <c r="AL13">
        <f t="shared" si="22"/>
        <v>7</v>
      </c>
      <c r="AM13" s="12">
        <f>IF(MOD(B13-1,Electric!$E$21)=0,Electric!E39*1000000,0)</f>
        <v>0</v>
      </c>
      <c r="AN13" s="12">
        <f>IF(MOD(B13-1,Electric!$E$22)=0,Electric!E40*1000000,0)</f>
        <v>0</v>
      </c>
      <c r="AO13" s="12">
        <f>IF(MOD(B13-1,Electric!$E$24)=0,Electric!$E$36*1000000,0)</f>
        <v>0</v>
      </c>
      <c r="AP13" s="12">
        <f t="shared" si="23"/>
        <v>18000000</v>
      </c>
      <c r="AQ13" s="12">
        <f t="shared" si="24"/>
        <v>21000000</v>
      </c>
      <c r="AR13" s="12">
        <f t="shared" si="25"/>
        <v>50000000</v>
      </c>
      <c r="AS13" s="12">
        <f t="shared" si="26"/>
        <v>3495240.0000000005</v>
      </c>
      <c r="AT13" s="12">
        <f t="shared" si="27"/>
        <v>3679200</v>
      </c>
      <c r="AU13" s="12">
        <f t="shared" si="28"/>
        <v>1608600</v>
      </c>
      <c r="AV13" s="12">
        <f t="shared" si="29"/>
        <v>980000</v>
      </c>
      <c r="AW13" s="12">
        <f t="shared" si="30"/>
        <v>9006870.1550387591</v>
      </c>
      <c r="AX13" s="12">
        <f t="shared" si="3"/>
        <v>107769910.15503876</v>
      </c>
      <c r="BC13">
        <f t="shared" si="40"/>
        <v>7</v>
      </c>
      <c r="BD13" s="12">
        <f>IF(MOD(B13-1,BatteryElectric!$E$21)=0,BatteryElectric!$E$34*1000000,0)</f>
        <v>0</v>
      </c>
      <c r="BE13" s="12">
        <f>IF(MOD(B13-1,BatteryElectric!$E$21)=0,BatteryElectric!$E$35*1000000,0)</f>
        <v>0</v>
      </c>
      <c r="BF13" s="12">
        <f>IF(MOD(B13-1,BatteryElectric!$E$24)=0,BatteryElectric!$E$37*1000000,0)</f>
        <v>0</v>
      </c>
      <c r="BG13" s="12">
        <f t="shared" si="31"/>
        <v>26000000</v>
      </c>
      <c r="BH13" s="12">
        <f t="shared" si="32"/>
        <v>15000000</v>
      </c>
      <c r="BI13" s="12">
        <f t="shared" si="33"/>
        <v>12000000</v>
      </c>
      <c r="BJ13" s="12">
        <f t="shared" si="34"/>
        <v>4328470.5882352944</v>
      </c>
      <c r="BK13" s="12">
        <f t="shared" si="35"/>
        <v>5150880</v>
      </c>
      <c r="BL13" s="12">
        <f t="shared" si="36"/>
        <v>804300</v>
      </c>
      <c r="BM13" s="12">
        <f t="shared" si="37"/>
        <v>235200</v>
      </c>
      <c r="BN13" s="12">
        <f t="shared" si="38"/>
        <v>9006870.1550387591</v>
      </c>
      <c r="BO13" s="12">
        <f t="shared" si="4"/>
        <v>72525720.743274063</v>
      </c>
    </row>
    <row r="14" spans="2:67" x14ac:dyDescent="0.25">
      <c r="B14">
        <f t="shared" si="41"/>
        <v>8</v>
      </c>
      <c r="C14" s="12">
        <f>IF(MOD(B14-1,HydrogenFC!$F$34)=0,HydrogenFC!$H$26*1000000*HydrogenFC!$F$42,0)</f>
        <v>0</v>
      </c>
      <c r="D14" s="12">
        <f>IF(MOD(B14-1,ROUND(HydrogenFC!$F$29/24/365,0))=0,HydrogenFC!$F$45,0)</f>
        <v>0</v>
      </c>
      <c r="E14" s="12">
        <f>IF(MOD(B14-1,HydrogenFC!$F$30)=0,HydrogenFC!$F$46,0)</f>
        <v>0</v>
      </c>
      <c r="F14" s="14">
        <f>IF(MOD(B14-1,HydrogenFC!$F$31)=0,HydrogenFC!$F$47,0)</f>
        <v>0</v>
      </c>
      <c r="G14" s="12">
        <f>IF(MOD(B14-1,HydrogenFC!$F$33)=0,HydrogenFC!$F$48+HydrogenFC!$F$49,0)</f>
        <v>0</v>
      </c>
      <c r="H14" s="12">
        <f>IF(MOD(B14-1,HydrogenFC!$F$34)=0,HydrogenFC!$F$51,0)</f>
        <v>0</v>
      </c>
      <c r="I14" s="12">
        <f t="shared" si="5"/>
        <v>30000000</v>
      </c>
      <c r="J14" s="12">
        <f t="shared" si="6"/>
        <v>19342050.000000004</v>
      </c>
      <c r="K14" s="12">
        <f t="shared" si="7"/>
        <v>535626.00000000012</v>
      </c>
      <c r="L14" s="12">
        <f t="shared" si="8"/>
        <v>0.72000000000000008</v>
      </c>
      <c r="M14" s="12">
        <f t="shared" si="9"/>
        <v>825756.75</v>
      </c>
      <c r="N14" s="12">
        <f t="shared" si="10"/>
        <v>1175240.7750000001</v>
      </c>
      <c r="O14" s="12">
        <f t="shared" si="39"/>
        <v>26391568.784465902</v>
      </c>
      <c r="P14" s="12">
        <f t="shared" si="11"/>
        <v>107682.82560000003</v>
      </c>
      <c r="Q14" s="12">
        <f t="shared" si="12"/>
        <v>7568640</v>
      </c>
      <c r="R14" s="12">
        <f t="shared" si="13"/>
        <v>1440000</v>
      </c>
      <c r="S14" s="12">
        <f t="shared" si="14"/>
        <v>10293565.891472869</v>
      </c>
      <c r="T14" s="12">
        <f t="shared" si="1"/>
        <v>97680131.746538758</v>
      </c>
      <c r="X14">
        <f t="shared" si="15"/>
        <v>8</v>
      </c>
      <c r="Y14" s="12">
        <f>IF(MOD(B14-1,Diesel!$E$27)=0,Diesel!$E$32*1000000,0)</f>
        <v>0</v>
      </c>
      <c r="Z14" s="12">
        <f>IF(MOD(B14-1,Diesel!$E$30)=0,Diesel!$E$35,0)</f>
        <v>0</v>
      </c>
      <c r="AA14" s="12">
        <f t="shared" si="16"/>
        <v>18000000</v>
      </c>
      <c r="AB14" s="12">
        <f t="shared" si="17"/>
        <v>3000000</v>
      </c>
      <c r="AC14" s="12">
        <f t="shared" si="18"/>
        <v>8830080</v>
      </c>
      <c r="AD14" s="12">
        <f t="shared" si="19"/>
        <v>8304480</v>
      </c>
      <c r="AE14" s="12">
        <f t="shared" si="20"/>
        <v>82800</v>
      </c>
      <c r="AF14" s="12">
        <f t="shared" si="21"/>
        <v>10293565.891472869</v>
      </c>
      <c r="AG14" s="12">
        <f t="shared" si="2"/>
        <v>48510925.891472869</v>
      </c>
      <c r="AL14">
        <f t="shared" si="22"/>
        <v>8</v>
      </c>
      <c r="AM14" s="12">
        <f>IF(MOD(B14-1,Electric!$E$21)=0,Electric!E40*1000000,0)</f>
        <v>0</v>
      </c>
      <c r="AN14" s="12">
        <f>IF(MOD(B14-1,Electric!$E$22)=0,Electric!E41*1000000,0)</f>
        <v>0</v>
      </c>
      <c r="AO14" s="12">
        <f>IF(MOD(B14-1,Electric!$E$24)=0,Electric!$E$36*1000000,0)</f>
        <v>0</v>
      </c>
      <c r="AP14" s="12">
        <f t="shared" si="23"/>
        <v>18000000</v>
      </c>
      <c r="AQ14" s="12">
        <f t="shared" si="24"/>
        <v>21000000</v>
      </c>
      <c r="AR14" s="12">
        <f t="shared" si="25"/>
        <v>50000000</v>
      </c>
      <c r="AS14" s="12">
        <f t="shared" si="26"/>
        <v>3994560.0000000005</v>
      </c>
      <c r="AT14" s="12">
        <f t="shared" si="27"/>
        <v>4204800</v>
      </c>
      <c r="AU14" s="12">
        <f t="shared" si="28"/>
        <v>1838400</v>
      </c>
      <c r="AV14" s="12">
        <f t="shared" si="29"/>
        <v>1120000</v>
      </c>
      <c r="AW14" s="12">
        <f t="shared" si="30"/>
        <v>10293565.891472869</v>
      </c>
      <c r="AX14" s="12">
        <f t="shared" si="3"/>
        <v>110451325.89147288</v>
      </c>
      <c r="BC14">
        <f t="shared" si="40"/>
        <v>8</v>
      </c>
      <c r="BD14" s="12">
        <f>IF(MOD(B14-1,BatteryElectric!$E$21)=0,BatteryElectric!$E$34*1000000,0)</f>
        <v>0</v>
      </c>
      <c r="BE14" s="12">
        <f>IF(MOD(B14-1,BatteryElectric!$E$21)=0,BatteryElectric!$E$35*1000000,0)</f>
        <v>0</v>
      </c>
      <c r="BF14" s="12">
        <f>IF(MOD(B14-1,BatteryElectric!$E$24)=0,BatteryElectric!$E$37*1000000,0)</f>
        <v>0</v>
      </c>
      <c r="BG14" s="12">
        <f t="shared" si="31"/>
        <v>26000000</v>
      </c>
      <c r="BH14" s="12">
        <f t="shared" si="32"/>
        <v>15000000</v>
      </c>
      <c r="BI14" s="12">
        <f t="shared" si="33"/>
        <v>12000000</v>
      </c>
      <c r="BJ14" s="12">
        <f t="shared" si="34"/>
        <v>4946823.5294117648</v>
      </c>
      <c r="BK14" s="12">
        <f t="shared" si="35"/>
        <v>5886720</v>
      </c>
      <c r="BL14" s="12">
        <f t="shared" si="36"/>
        <v>919200</v>
      </c>
      <c r="BM14" s="12">
        <f t="shared" si="37"/>
        <v>268800</v>
      </c>
      <c r="BN14" s="12">
        <f t="shared" si="38"/>
        <v>10293565.891472869</v>
      </c>
      <c r="BO14" s="12">
        <f t="shared" si="4"/>
        <v>75315109.420884639</v>
      </c>
    </row>
    <row r="15" spans="2:67" x14ac:dyDescent="0.25">
      <c r="B15">
        <f t="shared" si="41"/>
        <v>9</v>
      </c>
      <c r="C15" s="12">
        <f>IF(MOD(B15-1,HydrogenFC!$F$34)=0,HydrogenFC!$H$26*1000000*HydrogenFC!$F$42,0)</f>
        <v>0</v>
      </c>
      <c r="D15" s="12">
        <f>IF(MOD(B15-1,ROUND(HydrogenFC!$F$29/24/365,0))=0,HydrogenFC!$F$45,0)</f>
        <v>0</v>
      </c>
      <c r="E15" s="12">
        <f>IF(MOD(B15-1,HydrogenFC!$F$30)=0,HydrogenFC!$F$46,0)</f>
        <v>0</v>
      </c>
      <c r="F15" s="14">
        <f>IF(MOD(B15-1,HydrogenFC!$F$31)=0,HydrogenFC!$F$47,0)</f>
        <v>0</v>
      </c>
      <c r="G15" s="12">
        <f>IF(MOD(B15-1,HydrogenFC!$F$33)=0,HydrogenFC!$F$48+HydrogenFC!$F$49,0)</f>
        <v>0</v>
      </c>
      <c r="H15" s="12">
        <f>IF(MOD(B15-1,HydrogenFC!$F$34)=0,HydrogenFC!$F$51,0)</f>
        <v>0</v>
      </c>
      <c r="I15" s="12">
        <f t="shared" si="5"/>
        <v>30000000</v>
      </c>
      <c r="J15" s="12">
        <f t="shared" si="6"/>
        <v>19342050.000000004</v>
      </c>
      <c r="K15" s="12">
        <f t="shared" si="7"/>
        <v>535626.00000000012</v>
      </c>
      <c r="L15" s="12">
        <f t="shared" si="8"/>
        <v>0.72000000000000008</v>
      </c>
      <c r="M15" s="12">
        <f t="shared" si="9"/>
        <v>825756.75</v>
      </c>
      <c r="N15" s="12">
        <f t="shared" si="10"/>
        <v>1175240.7750000001</v>
      </c>
      <c r="O15" s="12">
        <f t="shared" si="39"/>
        <v>29690514.88252414</v>
      </c>
      <c r="P15" s="12">
        <f t="shared" si="11"/>
        <v>121143.17880000002</v>
      </c>
      <c r="Q15" s="12">
        <f t="shared" si="12"/>
        <v>8514720</v>
      </c>
      <c r="R15" s="12">
        <f t="shared" si="13"/>
        <v>1620000</v>
      </c>
      <c r="S15" s="12">
        <f t="shared" si="14"/>
        <v>11580261.627906978</v>
      </c>
      <c r="T15" s="12">
        <f t="shared" si="1"/>
        <v>103405313.93423112</v>
      </c>
      <c r="X15">
        <f t="shared" si="15"/>
        <v>9</v>
      </c>
      <c r="Y15" s="12">
        <f>IF(MOD(B15-1,Diesel!$E$27)=0,Diesel!$E$32*1000000,0)</f>
        <v>0</v>
      </c>
      <c r="Z15" s="12">
        <f>IF(MOD(B15-1,Diesel!$E$30)=0,Diesel!$E$35,0)</f>
        <v>0</v>
      </c>
      <c r="AA15" s="12">
        <f t="shared" si="16"/>
        <v>18000000</v>
      </c>
      <c r="AB15" s="12">
        <f t="shared" si="17"/>
        <v>3000000</v>
      </c>
      <c r="AC15" s="12">
        <f t="shared" si="18"/>
        <v>9933840</v>
      </c>
      <c r="AD15" s="12">
        <f t="shared" si="19"/>
        <v>9342540</v>
      </c>
      <c r="AE15" s="12">
        <f t="shared" si="20"/>
        <v>93150</v>
      </c>
      <c r="AF15" s="12">
        <f t="shared" si="21"/>
        <v>11580261.627906978</v>
      </c>
      <c r="AG15" s="12">
        <f t="shared" si="2"/>
        <v>51949791.627906978</v>
      </c>
      <c r="AL15">
        <f t="shared" si="22"/>
        <v>9</v>
      </c>
      <c r="AM15" s="12">
        <f>IF(MOD(B15-1,Electric!$E$21)=0,Electric!E41*1000000,0)</f>
        <v>0</v>
      </c>
      <c r="AN15" s="12">
        <f>IF(MOD(B15-1,Electric!$E$22)=0,Electric!E42*1000000,0)</f>
        <v>0</v>
      </c>
      <c r="AO15" s="12">
        <f>IF(MOD(B15-1,Electric!$E$24)=0,Electric!$E$36*1000000,0)</f>
        <v>0</v>
      </c>
      <c r="AP15" s="12">
        <f t="shared" si="23"/>
        <v>18000000</v>
      </c>
      <c r="AQ15" s="12">
        <f t="shared" si="24"/>
        <v>21000000</v>
      </c>
      <c r="AR15" s="12">
        <f t="shared" si="25"/>
        <v>50000000</v>
      </c>
      <c r="AS15" s="12">
        <f t="shared" si="26"/>
        <v>4493880.0000000009</v>
      </c>
      <c r="AT15" s="12">
        <f t="shared" si="27"/>
        <v>4730400</v>
      </c>
      <c r="AU15" s="12">
        <f t="shared" si="28"/>
        <v>2068200</v>
      </c>
      <c r="AV15" s="12">
        <f t="shared" si="29"/>
        <v>1260000</v>
      </c>
      <c r="AW15" s="12">
        <f t="shared" si="30"/>
        <v>11580261.627906978</v>
      </c>
      <c r="AX15" s="12">
        <f t="shared" si="3"/>
        <v>113132741.62790698</v>
      </c>
      <c r="BC15">
        <f t="shared" si="40"/>
        <v>9</v>
      </c>
      <c r="BD15" s="12">
        <f>IF(MOD(B15-1,BatteryElectric!$E$21)=0,BatteryElectric!$E$34*1000000,0)</f>
        <v>0</v>
      </c>
      <c r="BE15" s="12">
        <f>IF(MOD(B15-1,BatteryElectric!$E$21)=0,BatteryElectric!$E$35*1000000,0)</f>
        <v>0</v>
      </c>
      <c r="BF15" s="12">
        <f>IF(MOD(B15-1,BatteryElectric!$E$24)=0,BatteryElectric!$E$37*1000000,0)</f>
        <v>0</v>
      </c>
      <c r="BG15" s="12">
        <f t="shared" si="31"/>
        <v>26000000</v>
      </c>
      <c r="BH15" s="12">
        <f t="shared" si="32"/>
        <v>15000000</v>
      </c>
      <c r="BI15" s="12">
        <f t="shared" si="33"/>
        <v>12000000</v>
      </c>
      <c r="BJ15" s="12">
        <f t="shared" si="34"/>
        <v>5565176.4705882352</v>
      </c>
      <c r="BK15" s="12">
        <f t="shared" si="35"/>
        <v>6622560</v>
      </c>
      <c r="BL15" s="12">
        <f t="shared" si="36"/>
        <v>1034100</v>
      </c>
      <c r="BM15" s="12">
        <f t="shared" si="37"/>
        <v>302400</v>
      </c>
      <c r="BN15" s="12">
        <f t="shared" si="38"/>
        <v>11580261.627906978</v>
      </c>
      <c r="BO15" s="12">
        <f t="shared" si="4"/>
        <v>78104498.098495215</v>
      </c>
    </row>
    <row r="16" spans="2:67" x14ac:dyDescent="0.25">
      <c r="B16">
        <f t="shared" si="41"/>
        <v>10</v>
      </c>
      <c r="C16" s="12">
        <f>IF(MOD(B16-1,HydrogenFC!$F$34)=0,HydrogenFC!$H$26*1000000*HydrogenFC!$F$42,0)</f>
        <v>0</v>
      </c>
      <c r="D16" s="12">
        <f>IF(MOD(B16-1,ROUND(HydrogenFC!$F$29/24/365,0))=0,HydrogenFC!$F$45,0)</f>
        <v>0</v>
      </c>
      <c r="E16" s="12">
        <f>IF(MOD(B16-1,HydrogenFC!$F$30)=0,HydrogenFC!$F$46,0)</f>
        <v>0</v>
      </c>
      <c r="F16" s="14">
        <f>IF(MOD(B16-1,HydrogenFC!$F$31)=0,HydrogenFC!$F$47,0)</f>
        <v>0</v>
      </c>
      <c r="G16" s="12">
        <f>IF(MOD(B16-1,HydrogenFC!$F$33)=0,HydrogenFC!$F$48+HydrogenFC!$F$49,0)</f>
        <v>0</v>
      </c>
      <c r="H16" s="12">
        <f>IF(MOD(B16-1,HydrogenFC!$F$34)=0,HydrogenFC!$F$51,0)</f>
        <v>0</v>
      </c>
      <c r="I16" s="12">
        <f t="shared" si="5"/>
        <v>30000000</v>
      </c>
      <c r="J16" s="12">
        <f t="shared" si="6"/>
        <v>19342050.000000004</v>
      </c>
      <c r="K16" s="12">
        <f t="shared" si="7"/>
        <v>535626.00000000012</v>
      </c>
      <c r="L16" s="12">
        <f t="shared" si="8"/>
        <v>0.72000000000000008</v>
      </c>
      <c r="M16" s="12">
        <f t="shared" si="9"/>
        <v>825756.75</v>
      </c>
      <c r="N16" s="12">
        <f t="shared" si="10"/>
        <v>1175240.7750000001</v>
      </c>
      <c r="O16" s="12">
        <f t="shared" si="39"/>
        <v>32989460.980582379</v>
      </c>
      <c r="P16" s="12">
        <f t="shared" si="11"/>
        <v>134603.53200000004</v>
      </c>
      <c r="Q16" s="12">
        <f t="shared" si="12"/>
        <v>9460800</v>
      </c>
      <c r="R16" s="12">
        <f t="shared" si="13"/>
        <v>1800000</v>
      </c>
      <c r="S16" s="12">
        <f t="shared" si="14"/>
        <v>12866957.364341086</v>
      </c>
      <c r="T16" s="12">
        <f t="shared" si="1"/>
        <v>109130496.12192346</v>
      </c>
      <c r="X16">
        <f t="shared" si="15"/>
        <v>10</v>
      </c>
      <c r="Y16" s="12">
        <f>IF(MOD(B16-1,Diesel!$E$27)=0,Diesel!$E$32*1000000,0)</f>
        <v>0</v>
      </c>
      <c r="Z16" s="12">
        <f>IF(MOD(B16-1,Diesel!$E$30)=0,Diesel!$E$35,0)</f>
        <v>0</v>
      </c>
      <c r="AA16" s="12">
        <f t="shared" si="16"/>
        <v>18000000</v>
      </c>
      <c r="AB16" s="12">
        <f t="shared" si="17"/>
        <v>3000000</v>
      </c>
      <c r="AC16" s="12">
        <f t="shared" si="18"/>
        <v>11037600</v>
      </c>
      <c r="AD16" s="12">
        <f t="shared" si="19"/>
        <v>10380600</v>
      </c>
      <c r="AE16" s="12">
        <f t="shared" si="20"/>
        <v>103500</v>
      </c>
      <c r="AF16" s="12">
        <f t="shared" si="21"/>
        <v>12866957.364341086</v>
      </c>
      <c r="AG16" s="12">
        <f t="shared" si="2"/>
        <v>55388657.364341088</v>
      </c>
      <c r="AL16">
        <f t="shared" si="22"/>
        <v>10</v>
      </c>
      <c r="AM16" s="12">
        <f>IF(MOD(B16-1,Electric!$E$21)=0,Electric!E42*1000000,0)</f>
        <v>0</v>
      </c>
      <c r="AN16" s="12">
        <f>IF(MOD(B16-1,Electric!$E$22)=0,Electric!E43*1000000,0)</f>
        <v>0</v>
      </c>
      <c r="AO16" s="12">
        <f>IF(MOD(B16-1,Electric!$E$24)=0,Electric!$E$36*1000000,0)</f>
        <v>0</v>
      </c>
      <c r="AP16" s="12">
        <f t="shared" si="23"/>
        <v>18000000</v>
      </c>
      <c r="AQ16" s="12">
        <f t="shared" si="24"/>
        <v>21000000</v>
      </c>
      <c r="AR16" s="12">
        <f t="shared" si="25"/>
        <v>50000000</v>
      </c>
      <c r="AS16" s="12">
        <f t="shared" si="26"/>
        <v>4993200.0000000009</v>
      </c>
      <c r="AT16" s="12">
        <f t="shared" si="27"/>
        <v>5256000</v>
      </c>
      <c r="AU16" s="12">
        <f t="shared" si="28"/>
        <v>2298000</v>
      </c>
      <c r="AV16" s="12">
        <f t="shared" si="29"/>
        <v>1400000</v>
      </c>
      <c r="AW16" s="12">
        <f t="shared" si="30"/>
        <v>12866957.364341086</v>
      </c>
      <c r="AX16" s="12">
        <f t="shared" si="3"/>
        <v>115814157.36434108</v>
      </c>
      <c r="BC16">
        <f t="shared" si="40"/>
        <v>10</v>
      </c>
      <c r="BD16" s="12">
        <f>IF(MOD(B16-1,BatteryElectric!$E$21)=0,BatteryElectric!$E$34*1000000,0)</f>
        <v>0</v>
      </c>
      <c r="BE16" s="12">
        <f>IF(MOD(B16-1,BatteryElectric!$E$21)=0,BatteryElectric!$E$35*1000000,0)</f>
        <v>0</v>
      </c>
      <c r="BF16" s="12">
        <f>IF(MOD(B16-1,BatteryElectric!$E$24)=0,BatteryElectric!$E$37*1000000,0)</f>
        <v>0</v>
      </c>
      <c r="BG16" s="12">
        <f t="shared" si="31"/>
        <v>26000000</v>
      </c>
      <c r="BH16" s="12">
        <f t="shared" si="32"/>
        <v>15000000</v>
      </c>
      <c r="BI16" s="12">
        <f t="shared" si="33"/>
        <v>12000000</v>
      </c>
      <c r="BJ16" s="12">
        <f t="shared" si="34"/>
        <v>6183529.4117647056</v>
      </c>
      <c r="BK16" s="12">
        <f t="shared" si="35"/>
        <v>7358400</v>
      </c>
      <c r="BL16" s="12">
        <f t="shared" si="36"/>
        <v>1149000</v>
      </c>
      <c r="BM16" s="12">
        <f t="shared" si="37"/>
        <v>336000</v>
      </c>
      <c r="BN16" s="12">
        <f t="shared" si="38"/>
        <v>12866957.364341086</v>
      </c>
      <c r="BO16" s="12">
        <f t="shared" si="4"/>
        <v>80893886.776105791</v>
      </c>
    </row>
    <row r="17" spans="2:67" x14ac:dyDescent="0.25">
      <c r="B17">
        <f t="shared" si="41"/>
        <v>11</v>
      </c>
      <c r="C17" s="12">
        <f>IF(MOD(B17-1,HydrogenFC!$F$34)=0,HydrogenFC!$H$26*1000000*HydrogenFC!$F$42,0)</f>
        <v>0</v>
      </c>
      <c r="D17" s="12">
        <f>IF(MOD(B17-1,ROUND(HydrogenFC!$F$29/24/365,0))=0,HydrogenFC!$F$45,0)</f>
        <v>0</v>
      </c>
      <c r="E17" s="12">
        <f>IF(MOD(B17-1,HydrogenFC!$F$30)=0,HydrogenFC!$F$46,0)</f>
        <v>0</v>
      </c>
      <c r="F17" s="14">
        <f>IF(MOD(B17-1,HydrogenFC!$F$31)=0,HydrogenFC!$F$47,0)</f>
        <v>0.72000000000000008</v>
      </c>
      <c r="G17" s="12">
        <f>IF(MOD(B17-1,HydrogenFC!$F$33)=0,HydrogenFC!$F$48+HydrogenFC!$F$49,0)</f>
        <v>0</v>
      </c>
      <c r="H17" s="12">
        <f>IF(MOD(B17-1,HydrogenFC!$F$34)=0,HydrogenFC!$F$51,0)</f>
        <v>0</v>
      </c>
      <c r="I17" s="12">
        <f t="shared" si="5"/>
        <v>30000000</v>
      </c>
      <c r="J17" s="12">
        <f t="shared" si="6"/>
        <v>19342050.000000004</v>
      </c>
      <c r="K17" s="12">
        <f t="shared" si="7"/>
        <v>535626.00000000012</v>
      </c>
      <c r="L17" s="12">
        <f t="shared" si="8"/>
        <v>1.4400000000000002</v>
      </c>
      <c r="M17" s="12">
        <f t="shared" si="9"/>
        <v>825756.75</v>
      </c>
      <c r="N17" s="12">
        <f t="shared" si="10"/>
        <v>1175240.7750000001</v>
      </c>
      <c r="O17" s="12">
        <f t="shared" si="39"/>
        <v>36288407.078640617</v>
      </c>
      <c r="P17" s="12">
        <f t="shared" si="11"/>
        <v>148063.88520000005</v>
      </c>
      <c r="Q17" s="12">
        <f t="shared" si="12"/>
        <v>10406880</v>
      </c>
      <c r="R17" s="12">
        <f t="shared" si="13"/>
        <v>1980000</v>
      </c>
      <c r="S17" s="12">
        <f t="shared" si="14"/>
        <v>14153653.100775193</v>
      </c>
      <c r="T17" s="12">
        <f t="shared" si="1"/>
        <v>114855679.0296158</v>
      </c>
      <c r="X17">
        <f t="shared" si="15"/>
        <v>11</v>
      </c>
      <c r="Y17" s="12">
        <f>IF(MOD(B17-1,Diesel!$E$27)=0,Diesel!$E$32*1000000,0)</f>
        <v>0</v>
      </c>
      <c r="Z17" s="12">
        <f>IF(MOD(B17-1,Diesel!$E$30)=0,Diesel!$E$35,0)</f>
        <v>0</v>
      </c>
      <c r="AA17" s="12">
        <f t="shared" si="16"/>
        <v>18000000</v>
      </c>
      <c r="AB17" s="12">
        <f t="shared" si="17"/>
        <v>3000000</v>
      </c>
      <c r="AC17" s="12">
        <f t="shared" si="18"/>
        <v>12141360</v>
      </c>
      <c r="AD17" s="12">
        <f t="shared" si="19"/>
        <v>11418660</v>
      </c>
      <c r="AE17" s="12">
        <f t="shared" si="20"/>
        <v>113850</v>
      </c>
      <c r="AF17" s="12">
        <f t="shared" si="21"/>
        <v>14153653.100775193</v>
      </c>
      <c r="AG17" s="12">
        <f t="shared" si="2"/>
        <v>58827523.100775197</v>
      </c>
      <c r="AL17">
        <f t="shared" si="22"/>
        <v>11</v>
      </c>
      <c r="AM17" s="12">
        <f>IF(MOD(B17-1,Electric!$E$21)=0,Electric!E43*1000000,0)</f>
        <v>0</v>
      </c>
      <c r="AN17" s="12">
        <f>IF(MOD(B17-1,Electric!$E$22)=0,Electric!E44*1000000,0)</f>
        <v>0</v>
      </c>
      <c r="AO17" s="12">
        <f>IF(MOD(B17-1,Electric!$E$24)=0,Electric!$E$36*1000000,0)</f>
        <v>0</v>
      </c>
      <c r="AP17" s="12">
        <f t="shared" si="23"/>
        <v>18000000</v>
      </c>
      <c r="AQ17" s="12">
        <f t="shared" si="24"/>
        <v>21000000</v>
      </c>
      <c r="AR17" s="12">
        <f t="shared" si="25"/>
        <v>50000000</v>
      </c>
      <c r="AS17" s="12">
        <f t="shared" si="26"/>
        <v>5492520.0000000009</v>
      </c>
      <c r="AT17" s="12">
        <f t="shared" si="27"/>
        <v>5781600</v>
      </c>
      <c r="AU17" s="12">
        <f t="shared" si="28"/>
        <v>2527800</v>
      </c>
      <c r="AV17" s="12">
        <f t="shared" si="29"/>
        <v>1540000</v>
      </c>
      <c r="AW17" s="12">
        <f t="shared" si="30"/>
        <v>14153653.100775193</v>
      </c>
      <c r="AX17" s="12">
        <f t="shared" si="3"/>
        <v>118495573.1007752</v>
      </c>
      <c r="BC17">
        <f t="shared" si="40"/>
        <v>11</v>
      </c>
      <c r="BD17" s="12">
        <f>IF(MOD(B17-1,BatteryElectric!$E$21)=0,BatteryElectric!$E$34*1000000,0)</f>
        <v>0</v>
      </c>
      <c r="BE17" s="12">
        <f>IF(MOD(B17-1,BatteryElectric!$E$21)=0,BatteryElectric!$E$35*1000000,0)</f>
        <v>0</v>
      </c>
      <c r="BF17" s="12">
        <f>IF(MOD(B17-1,BatteryElectric!$E$24)=0,BatteryElectric!$E$37*1000000,0)</f>
        <v>0</v>
      </c>
      <c r="BG17" s="12">
        <f t="shared" si="31"/>
        <v>26000000</v>
      </c>
      <c r="BH17" s="12">
        <f t="shared" si="32"/>
        <v>15000000</v>
      </c>
      <c r="BI17" s="12">
        <f t="shared" si="33"/>
        <v>12000000</v>
      </c>
      <c r="BJ17" s="12">
        <f t="shared" si="34"/>
        <v>6801882.3529411769</v>
      </c>
      <c r="BK17" s="12">
        <f t="shared" si="35"/>
        <v>8094240</v>
      </c>
      <c r="BL17" s="12">
        <f t="shared" si="36"/>
        <v>1263900</v>
      </c>
      <c r="BM17" s="12">
        <f t="shared" si="37"/>
        <v>369600</v>
      </c>
      <c r="BN17" s="12">
        <f t="shared" si="38"/>
        <v>14153653.100775193</v>
      </c>
      <c r="BO17" s="12">
        <f t="shared" si="4"/>
        <v>83683275.453716382</v>
      </c>
    </row>
    <row r="18" spans="2:67" x14ac:dyDescent="0.25">
      <c r="B18">
        <f t="shared" si="41"/>
        <v>12</v>
      </c>
      <c r="C18" s="12">
        <f>IF(MOD(B18-1,HydrogenFC!$F$34)=0,HydrogenFC!$H$26*1000000*HydrogenFC!$F$42,0)</f>
        <v>0</v>
      </c>
      <c r="D18" s="12">
        <f>IF(MOD(B18-1,ROUND(HydrogenFC!$F$29/24/365,0))=0,HydrogenFC!$F$45,0)</f>
        <v>0</v>
      </c>
      <c r="E18" s="12">
        <f>IF(MOD(B18-1,HydrogenFC!$F$30)=0,HydrogenFC!$F$46,0)</f>
        <v>0</v>
      </c>
      <c r="F18" s="14">
        <f>IF(MOD(B18-1,HydrogenFC!$F$31)=0,HydrogenFC!$F$47,0)</f>
        <v>0</v>
      </c>
      <c r="G18" s="12">
        <f>IF(MOD(B18-1,HydrogenFC!$F$33)=0,HydrogenFC!$F$48+HydrogenFC!$F$49,0)</f>
        <v>0</v>
      </c>
      <c r="H18" s="12">
        <f>IF(MOD(B18-1,HydrogenFC!$F$34)=0,HydrogenFC!$F$51,0)</f>
        <v>0</v>
      </c>
      <c r="I18" s="12">
        <f t="shared" si="5"/>
        <v>30000000</v>
      </c>
      <c r="J18" s="12">
        <f t="shared" si="6"/>
        <v>19342050.000000004</v>
      </c>
      <c r="K18" s="12">
        <f t="shared" si="7"/>
        <v>535626.00000000012</v>
      </c>
      <c r="L18" s="12">
        <f t="shared" si="8"/>
        <v>1.4400000000000002</v>
      </c>
      <c r="M18" s="12">
        <f t="shared" si="9"/>
        <v>825756.75</v>
      </c>
      <c r="N18" s="12">
        <f t="shared" si="10"/>
        <v>1175240.7750000001</v>
      </c>
      <c r="O18" s="12">
        <f t="shared" si="39"/>
        <v>39587353.176698849</v>
      </c>
      <c r="P18" s="12">
        <f t="shared" si="11"/>
        <v>161524.23840000003</v>
      </c>
      <c r="Q18" s="12">
        <f t="shared" si="12"/>
        <v>11352960</v>
      </c>
      <c r="R18" s="12">
        <f t="shared" si="13"/>
        <v>2160000</v>
      </c>
      <c r="S18" s="12">
        <f t="shared" si="14"/>
        <v>15440348.837209303</v>
      </c>
      <c r="T18" s="12">
        <f t="shared" si="1"/>
        <v>120580861.21730813</v>
      </c>
      <c r="X18">
        <f t="shared" si="15"/>
        <v>12</v>
      </c>
      <c r="Y18" s="12">
        <f>IF(MOD(B18-1,Diesel!$E$27)=0,Diesel!$E$32*1000000,0)</f>
        <v>0</v>
      </c>
      <c r="Z18" s="12">
        <f>IF(MOD(B18-1,Diesel!$E$30)=0,Diesel!$E$35,0)</f>
        <v>0</v>
      </c>
      <c r="AA18" s="12">
        <f t="shared" si="16"/>
        <v>18000000</v>
      </c>
      <c r="AB18" s="12">
        <f t="shared" si="17"/>
        <v>3000000</v>
      </c>
      <c r="AC18" s="12">
        <f t="shared" si="18"/>
        <v>13245120</v>
      </c>
      <c r="AD18" s="12">
        <f t="shared" si="19"/>
        <v>12456720</v>
      </c>
      <c r="AE18" s="12">
        <f t="shared" si="20"/>
        <v>124200</v>
      </c>
      <c r="AF18" s="12">
        <f t="shared" si="21"/>
        <v>15440348.837209303</v>
      </c>
      <c r="AG18" s="12">
        <f t="shared" si="2"/>
        <v>62266388.837209299</v>
      </c>
      <c r="AL18">
        <f t="shared" si="22"/>
        <v>12</v>
      </c>
      <c r="AM18" s="12">
        <f>IF(MOD(B18-1,Electric!$E$21)=0,Electric!E44*1000000,0)</f>
        <v>0</v>
      </c>
      <c r="AN18" s="12">
        <f>IF(MOD(B18-1,Electric!$E$22)=0,Electric!E45*1000000,0)</f>
        <v>0</v>
      </c>
      <c r="AO18" s="12">
        <f>IF(MOD(B18-1,Electric!$E$24)=0,Electric!$E$36*1000000,0)</f>
        <v>0</v>
      </c>
      <c r="AP18" s="12">
        <f t="shared" si="23"/>
        <v>18000000</v>
      </c>
      <c r="AQ18" s="12">
        <f t="shared" si="24"/>
        <v>21000000</v>
      </c>
      <c r="AR18" s="12">
        <f t="shared" si="25"/>
        <v>50000000</v>
      </c>
      <c r="AS18" s="12">
        <f t="shared" si="26"/>
        <v>5991840.0000000009</v>
      </c>
      <c r="AT18" s="12">
        <f t="shared" si="27"/>
        <v>6307200</v>
      </c>
      <c r="AU18" s="12">
        <f t="shared" si="28"/>
        <v>2757600</v>
      </c>
      <c r="AV18" s="12">
        <f t="shared" si="29"/>
        <v>1680000</v>
      </c>
      <c r="AW18" s="12">
        <f t="shared" si="30"/>
        <v>15440348.837209303</v>
      </c>
      <c r="AX18" s="12">
        <f t="shared" si="3"/>
        <v>121176988.8372093</v>
      </c>
      <c r="BC18">
        <f t="shared" si="40"/>
        <v>12</v>
      </c>
      <c r="BD18" s="12">
        <f>IF(MOD(B18-1,BatteryElectric!$E$21)=0,BatteryElectric!$E$34*1000000,0)</f>
        <v>0</v>
      </c>
      <c r="BE18" s="12">
        <f>IF(MOD(B18-1,BatteryElectric!$E$21)=0,BatteryElectric!$E$35*1000000,0)</f>
        <v>0</v>
      </c>
      <c r="BF18" s="12">
        <f>IF(MOD(B18-1,BatteryElectric!$E$24)=0,BatteryElectric!$E$37*1000000,0)</f>
        <v>0</v>
      </c>
      <c r="BG18" s="12">
        <f t="shared" si="31"/>
        <v>26000000</v>
      </c>
      <c r="BH18" s="12">
        <f t="shared" si="32"/>
        <v>15000000</v>
      </c>
      <c r="BI18" s="12">
        <f t="shared" si="33"/>
        <v>12000000</v>
      </c>
      <c r="BJ18" s="12">
        <f t="shared" si="34"/>
        <v>7420235.2941176472</v>
      </c>
      <c r="BK18" s="12">
        <f t="shared" si="35"/>
        <v>8830080</v>
      </c>
      <c r="BL18" s="12">
        <f t="shared" si="36"/>
        <v>1378800</v>
      </c>
      <c r="BM18" s="12">
        <f t="shared" si="37"/>
        <v>403200</v>
      </c>
      <c r="BN18" s="12">
        <f t="shared" si="38"/>
        <v>15440348.837209303</v>
      </c>
      <c r="BO18" s="12">
        <f t="shared" si="4"/>
        <v>86472664.131326944</v>
      </c>
    </row>
    <row r="19" spans="2:67" x14ac:dyDescent="0.25">
      <c r="B19">
        <f t="shared" si="41"/>
        <v>13</v>
      </c>
      <c r="C19" s="12">
        <f>IF(MOD(B19-1,HydrogenFC!$F$34)=0,HydrogenFC!$H$26*1000000*HydrogenFC!$F$42,0)</f>
        <v>0</v>
      </c>
      <c r="D19" s="12">
        <f>IF(MOD(B19-1,ROUND(HydrogenFC!$F$29/24/365,0))=0,HydrogenFC!$F$45,0)</f>
        <v>9671025.0000000019</v>
      </c>
      <c r="E19" s="12">
        <f>IF(MOD(B19-1,HydrogenFC!$F$30)=0,HydrogenFC!$F$46,0)</f>
        <v>0</v>
      </c>
      <c r="F19" s="14">
        <f>IF(MOD(B19-1,HydrogenFC!$F$31)=0,HydrogenFC!$F$47,0)</f>
        <v>0</v>
      </c>
      <c r="G19" s="12">
        <f>IF(MOD(B19-1,HydrogenFC!$F$33)=0,HydrogenFC!$F$48+HydrogenFC!$F$49,0)</f>
        <v>0</v>
      </c>
      <c r="H19" s="12">
        <f>IF(MOD(B19-1,HydrogenFC!$F$34)=0,HydrogenFC!$F$51,0)</f>
        <v>0</v>
      </c>
      <c r="I19" s="12">
        <f t="shared" si="5"/>
        <v>30000000</v>
      </c>
      <c r="J19" s="12">
        <f t="shared" si="6"/>
        <v>29013075.000000007</v>
      </c>
      <c r="K19" s="12">
        <f t="shared" si="7"/>
        <v>535626.00000000012</v>
      </c>
      <c r="L19" s="12">
        <f t="shared" si="8"/>
        <v>1.4400000000000002</v>
      </c>
      <c r="M19" s="12">
        <f t="shared" si="9"/>
        <v>825756.75</v>
      </c>
      <c r="N19" s="12">
        <f t="shared" si="10"/>
        <v>1175240.7750000001</v>
      </c>
      <c r="O19" s="12">
        <f t="shared" si="39"/>
        <v>42886299.274757087</v>
      </c>
      <c r="P19" s="12">
        <f t="shared" si="11"/>
        <v>174984.59160000004</v>
      </c>
      <c r="Q19" s="12">
        <f t="shared" si="12"/>
        <v>12299040</v>
      </c>
      <c r="R19" s="12">
        <f t="shared" si="13"/>
        <v>2340000</v>
      </c>
      <c r="S19" s="12">
        <f t="shared" si="14"/>
        <v>16727044.573643412</v>
      </c>
      <c r="T19" s="12">
        <f t="shared" si="1"/>
        <v>135977068.40500051</v>
      </c>
      <c r="X19">
        <f t="shared" si="15"/>
        <v>13</v>
      </c>
      <c r="Y19" s="12">
        <f>IF(MOD(B19-1,Diesel!$E$27)=0,Diesel!$E$32*1000000,0)</f>
        <v>0</v>
      </c>
      <c r="Z19" s="12">
        <f>IF(MOD(B19-1,Diesel!$E$30)=0,Diesel!$E$35,0)</f>
        <v>0</v>
      </c>
      <c r="AA19" s="12">
        <f t="shared" si="16"/>
        <v>18000000</v>
      </c>
      <c r="AB19" s="12">
        <f t="shared" si="17"/>
        <v>3000000</v>
      </c>
      <c r="AC19" s="12">
        <f t="shared" si="18"/>
        <v>14348880</v>
      </c>
      <c r="AD19" s="12">
        <f t="shared" si="19"/>
        <v>13494780</v>
      </c>
      <c r="AE19" s="12">
        <f t="shared" si="20"/>
        <v>134550</v>
      </c>
      <c r="AF19" s="12">
        <f t="shared" si="21"/>
        <v>16727044.573643412</v>
      </c>
      <c r="AG19" s="12">
        <f t="shared" si="2"/>
        <v>65705254.573643416</v>
      </c>
      <c r="AL19">
        <f t="shared" si="22"/>
        <v>13</v>
      </c>
      <c r="AM19" s="12">
        <f>IF(MOD(B19-1,Electric!$E$21)=0,Electric!E45*1000000,0)</f>
        <v>0</v>
      </c>
      <c r="AN19" s="12">
        <f>IF(MOD(B19-1,Electric!$E$22)=0,Electric!E46*1000000,0)</f>
        <v>0</v>
      </c>
      <c r="AO19" s="12">
        <f>IF(MOD(B19-1,Electric!$E$24)=0,Electric!$E$36*1000000,0)</f>
        <v>0</v>
      </c>
      <c r="AP19" s="12">
        <f t="shared" si="23"/>
        <v>18000000</v>
      </c>
      <c r="AQ19" s="12">
        <f t="shared" si="24"/>
        <v>21000000</v>
      </c>
      <c r="AR19" s="12">
        <f t="shared" si="25"/>
        <v>50000000</v>
      </c>
      <c r="AS19" s="12">
        <f t="shared" si="26"/>
        <v>6491160.0000000009</v>
      </c>
      <c r="AT19" s="12">
        <f t="shared" si="27"/>
        <v>6832800</v>
      </c>
      <c r="AU19" s="12">
        <f t="shared" si="28"/>
        <v>2987400</v>
      </c>
      <c r="AV19" s="12">
        <f t="shared" si="29"/>
        <v>1820000</v>
      </c>
      <c r="AW19" s="12">
        <f t="shared" si="30"/>
        <v>16727044.573643412</v>
      </c>
      <c r="AX19" s="12">
        <f t="shared" si="3"/>
        <v>123858404.57364342</v>
      </c>
      <c r="BC19">
        <f t="shared" si="40"/>
        <v>13</v>
      </c>
      <c r="BD19" s="12">
        <f>IF(MOD(B19-1,BatteryElectric!$E$21)=0,BatteryElectric!$E$34*1000000,0)</f>
        <v>0</v>
      </c>
      <c r="BE19" s="12">
        <f>IF(MOD(B19-1,BatteryElectric!$E$21)=0,BatteryElectric!$E$35*1000000,0)</f>
        <v>0</v>
      </c>
      <c r="BF19" s="12">
        <f>IF(MOD(B19-1,BatteryElectric!$E$24)=0,BatteryElectric!$E$37*1000000,0)</f>
        <v>0</v>
      </c>
      <c r="BG19" s="12">
        <f t="shared" si="31"/>
        <v>26000000</v>
      </c>
      <c r="BH19" s="12">
        <f t="shared" si="32"/>
        <v>15000000</v>
      </c>
      <c r="BI19" s="12">
        <f t="shared" si="33"/>
        <v>12000000</v>
      </c>
      <c r="BJ19" s="12">
        <f t="shared" si="34"/>
        <v>8038588.2352941176</v>
      </c>
      <c r="BK19" s="12">
        <f t="shared" si="35"/>
        <v>9565920</v>
      </c>
      <c r="BL19" s="12">
        <f t="shared" si="36"/>
        <v>1493700</v>
      </c>
      <c r="BM19" s="12">
        <f t="shared" si="37"/>
        <v>436800</v>
      </c>
      <c r="BN19" s="12">
        <f t="shared" si="38"/>
        <v>16727044.573643412</v>
      </c>
      <c r="BO19" s="12">
        <f t="shared" si="4"/>
        <v>89262052.808937535</v>
      </c>
    </row>
    <row r="20" spans="2:67" x14ac:dyDescent="0.25">
      <c r="B20">
        <f t="shared" si="41"/>
        <v>14</v>
      </c>
      <c r="C20" s="12">
        <f>IF(MOD(B20-1,HydrogenFC!$F$34)=0,HydrogenFC!$H$26*1000000*HydrogenFC!$F$42,0)</f>
        <v>0</v>
      </c>
      <c r="D20" s="12">
        <f>IF(MOD(B20-1,ROUND(HydrogenFC!$F$29/24/365,0))=0,HydrogenFC!$F$45,0)</f>
        <v>0</v>
      </c>
      <c r="E20" s="12">
        <f>IF(MOD(B20-1,HydrogenFC!$F$30)=0,HydrogenFC!$F$46,0)</f>
        <v>0</v>
      </c>
      <c r="F20" s="14">
        <f>IF(MOD(B20-1,HydrogenFC!$F$31)=0,HydrogenFC!$F$47,0)</f>
        <v>0</v>
      </c>
      <c r="G20" s="12">
        <f>IF(MOD(B20-1,HydrogenFC!$F$33)=0,HydrogenFC!$F$48+HydrogenFC!$F$49,0)</f>
        <v>0</v>
      </c>
      <c r="H20" s="12">
        <f>IF(MOD(B20-1,HydrogenFC!$F$34)=0,HydrogenFC!$F$51,0)</f>
        <v>0</v>
      </c>
      <c r="I20" s="12">
        <f t="shared" si="5"/>
        <v>30000000</v>
      </c>
      <c r="J20" s="12">
        <f t="shared" si="6"/>
        <v>29013075.000000007</v>
      </c>
      <c r="K20" s="12">
        <f t="shared" si="7"/>
        <v>535626.00000000012</v>
      </c>
      <c r="L20" s="12">
        <f t="shared" si="8"/>
        <v>1.4400000000000002</v>
      </c>
      <c r="M20" s="12">
        <f t="shared" si="9"/>
        <v>825756.75</v>
      </c>
      <c r="N20" s="12">
        <f t="shared" si="10"/>
        <v>1175240.7750000001</v>
      </c>
      <c r="O20" s="12">
        <f t="shared" si="39"/>
        <v>46185245.372815326</v>
      </c>
      <c r="P20" s="12">
        <f t="shared" si="11"/>
        <v>188444.94480000006</v>
      </c>
      <c r="Q20" s="12">
        <f t="shared" si="12"/>
        <v>13245120</v>
      </c>
      <c r="R20" s="12">
        <f t="shared" si="13"/>
        <v>2520000</v>
      </c>
      <c r="S20" s="12">
        <f t="shared" si="14"/>
        <v>18013740.310077518</v>
      </c>
      <c r="T20" s="12">
        <f t="shared" si="1"/>
        <v>141702250.59269285</v>
      </c>
      <c r="X20">
        <f t="shared" si="15"/>
        <v>14</v>
      </c>
      <c r="Y20" s="12">
        <f>IF(MOD(B20-1,Diesel!$E$27)=0,Diesel!$E$32*1000000,0)</f>
        <v>0</v>
      </c>
      <c r="Z20" s="12">
        <f>IF(MOD(B20-1,Diesel!$E$30)=0,Diesel!$E$35,0)</f>
        <v>0</v>
      </c>
      <c r="AA20" s="12">
        <f t="shared" si="16"/>
        <v>18000000</v>
      </c>
      <c r="AB20" s="12">
        <f t="shared" si="17"/>
        <v>3000000</v>
      </c>
      <c r="AC20" s="12">
        <f t="shared" si="18"/>
        <v>15452640</v>
      </c>
      <c r="AD20" s="12">
        <f t="shared" si="19"/>
        <v>14532840</v>
      </c>
      <c r="AE20" s="12">
        <f t="shared" si="20"/>
        <v>144900</v>
      </c>
      <c r="AF20" s="12">
        <f t="shared" si="21"/>
        <v>18013740.310077518</v>
      </c>
      <c r="AG20" s="12">
        <f t="shared" si="2"/>
        <v>69144120.310077518</v>
      </c>
      <c r="AL20">
        <f t="shared" si="22"/>
        <v>14</v>
      </c>
      <c r="AM20" s="12">
        <f>IF(MOD(B20-1,Electric!$E$21)=0,Electric!E46*1000000,0)</f>
        <v>0</v>
      </c>
      <c r="AN20" s="12">
        <f>IF(MOD(B20-1,Electric!$E$22)=0,Electric!E47*1000000,0)</f>
        <v>0</v>
      </c>
      <c r="AO20" s="12">
        <f>IF(MOD(B20-1,Electric!$E$24)=0,Electric!$E$36*1000000,0)</f>
        <v>0</v>
      </c>
      <c r="AP20" s="12">
        <f t="shared" si="23"/>
        <v>18000000</v>
      </c>
      <c r="AQ20" s="12">
        <f t="shared" si="24"/>
        <v>21000000</v>
      </c>
      <c r="AR20" s="12">
        <f t="shared" si="25"/>
        <v>50000000</v>
      </c>
      <c r="AS20" s="12">
        <f t="shared" si="26"/>
        <v>6990480.0000000009</v>
      </c>
      <c r="AT20" s="12">
        <f t="shared" si="27"/>
        <v>7358400</v>
      </c>
      <c r="AU20" s="12">
        <f t="shared" si="28"/>
        <v>3217200</v>
      </c>
      <c r="AV20" s="12">
        <f t="shared" si="29"/>
        <v>1960000</v>
      </c>
      <c r="AW20" s="12">
        <f t="shared" si="30"/>
        <v>18013740.310077518</v>
      </c>
      <c r="AX20" s="12">
        <f t="shared" si="3"/>
        <v>126539820.31007752</v>
      </c>
      <c r="BC20">
        <f t="shared" si="40"/>
        <v>14</v>
      </c>
      <c r="BD20" s="12">
        <f>IF(MOD(B20-1,BatteryElectric!$E$21)=0,BatteryElectric!$E$34*1000000,0)</f>
        <v>0</v>
      </c>
      <c r="BE20" s="12">
        <f>IF(MOD(B20-1,BatteryElectric!$E$21)=0,BatteryElectric!$E$35*1000000,0)</f>
        <v>0</v>
      </c>
      <c r="BF20" s="12">
        <f>IF(MOD(B20-1,BatteryElectric!$E$24)=0,BatteryElectric!$E$37*1000000,0)</f>
        <v>0</v>
      </c>
      <c r="BG20" s="12">
        <f t="shared" si="31"/>
        <v>26000000</v>
      </c>
      <c r="BH20" s="12">
        <f t="shared" si="32"/>
        <v>15000000</v>
      </c>
      <c r="BI20" s="12">
        <f t="shared" si="33"/>
        <v>12000000</v>
      </c>
      <c r="BJ20" s="12">
        <f t="shared" si="34"/>
        <v>8656941.1764705889</v>
      </c>
      <c r="BK20" s="12">
        <f t="shared" si="35"/>
        <v>10301760</v>
      </c>
      <c r="BL20" s="12">
        <f t="shared" si="36"/>
        <v>1608600</v>
      </c>
      <c r="BM20" s="12">
        <f t="shared" si="37"/>
        <v>470400</v>
      </c>
      <c r="BN20" s="12">
        <f t="shared" si="38"/>
        <v>18013740.310077518</v>
      </c>
      <c r="BO20" s="12">
        <f t="shared" si="4"/>
        <v>92051441.486548111</v>
      </c>
    </row>
    <row r="21" spans="2:67" x14ac:dyDescent="0.25">
      <c r="B21">
        <f t="shared" si="41"/>
        <v>15</v>
      </c>
      <c r="C21" s="12">
        <f>IF(MOD(B21-1,HydrogenFC!$F$34)=0,HydrogenFC!$H$26*1000000*HydrogenFC!$F$42,0)</f>
        <v>0</v>
      </c>
      <c r="D21" s="12">
        <f>IF(MOD(B21-1,ROUND(HydrogenFC!$F$29/24/365,0))=0,HydrogenFC!$F$45,0)</f>
        <v>0</v>
      </c>
      <c r="E21" s="12">
        <f>IF(MOD(B21-1,HydrogenFC!$F$30)=0,HydrogenFC!$F$46,0)</f>
        <v>0</v>
      </c>
      <c r="F21" s="14">
        <f>IF(MOD(B21-1,HydrogenFC!$F$31)=0,HydrogenFC!$F$47,0)</f>
        <v>0</v>
      </c>
      <c r="G21" s="12">
        <f>IF(MOD(B21-1,HydrogenFC!$F$33)=0,HydrogenFC!$F$48+HydrogenFC!$F$49,0)</f>
        <v>0</v>
      </c>
      <c r="H21" s="12">
        <f>IF(MOD(B21-1,HydrogenFC!$F$34)=0,HydrogenFC!$F$51,0)</f>
        <v>0</v>
      </c>
      <c r="I21" s="12">
        <f t="shared" si="5"/>
        <v>30000000</v>
      </c>
      <c r="J21" s="12">
        <f t="shared" si="6"/>
        <v>29013075.000000007</v>
      </c>
      <c r="K21" s="12">
        <f t="shared" si="7"/>
        <v>535626.00000000012</v>
      </c>
      <c r="L21" s="12">
        <f t="shared" si="8"/>
        <v>1.4400000000000002</v>
      </c>
      <c r="M21" s="12">
        <f t="shared" si="9"/>
        <v>825756.75</v>
      </c>
      <c r="N21" s="12">
        <f t="shared" si="10"/>
        <v>1175240.7750000001</v>
      </c>
      <c r="O21" s="12">
        <f t="shared" si="39"/>
        <v>49484191.470873564</v>
      </c>
      <c r="P21" s="12">
        <f t="shared" si="11"/>
        <v>201905.29800000004</v>
      </c>
      <c r="Q21" s="12">
        <f t="shared" si="12"/>
        <v>14191200</v>
      </c>
      <c r="R21" s="12">
        <f t="shared" si="13"/>
        <v>2700000</v>
      </c>
      <c r="S21" s="12">
        <f t="shared" si="14"/>
        <v>19300436.046511628</v>
      </c>
      <c r="T21" s="12">
        <f t="shared" si="1"/>
        <v>147427432.7803852</v>
      </c>
      <c r="X21">
        <f t="shared" si="15"/>
        <v>15</v>
      </c>
      <c r="Y21" s="12">
        <f>IF(MOD(B21-1,Diesel!$E$27)=0,Diesel!$E$32*1000000,0)</f>
        <v>0</v>
      </c>
      <c r="Z21" s="12">
        <f>IF(MOD(B21-1,Diesel!$E$30)=0,Diesel!$E$35,0)</f>
        <v>0</v>
      </c>
      <c r="AA21" s="12">
        <f t="shared" si="16"/>
        <v>18000000</v>
      </c>
      <c r="AB21" s="12">
        <f t="shared" si="17"/>
        <v>3000000</v>
      </c>
      <c r="AC21" s="12">
        <f t="shared" si="18"/>
        <v>16556400</v>
      </c>
      <c r="AD21" s="12">
        <f t="shared" si="19"/>
        <v>15570900</v>
      </c>
      <c r="AE21" s="12">
        <f t="shared" si="20"/>
        <v>155250</v>
      </c>
      <c r="AF21" s="12">
        <f t="shared" si="21"/>
        <v>19300436.046511628</v>
      </c>
      <c r="AG21" s="12">
        <f t="shared" si="2"/>
        <v>72582986.04651162</v>
      </c>
      <c r="AL21">
        <f t="shared" si="22"/>
        <v>15</v>
      </c>
      <c r="AM21" s="12">
        <f>IF(MOD(B21-1,Electric!$E$21)=0,Electric!E47*1000000,0)</f>
        <v>0</v>
      </c>
      <c r="AN21" s="12">
        <f>IF(MOD(B21-1,Electric!$E$22)=0,Electric!E48*1000000,0)</f>
        <v>0</v>
      </c>
      <c r="AO21" s="12">
        <f>IF(MOD(B21-1,Electric!$E$24)=0,Electric!$E$36*1000000,0)</f>
        <v>0</v>
      </c>
      <c r="AP21" s="12">
        <f t="shared" si="23"/>
        <v>18000000</v>
      </c>
      <c r="AQ21" s="12">
        <f t="shared" si="24"/>
        <v>21000000</v>
      </c>
      <c r="AR21" s="12">
        <f t="shared" si="25"/>
        <v>50000000</v>
      </c>
      <c r="AS21" s="12">
        <f t="shared" si="26"/>
        <v>7489800.0000000009</v>
      </c>
      <c r="AT21" s="12">
        <f t="shared" si="27"/>
        <v>7884000</v>
      </c>
      <c r="AU21" s="12">
        <f t="shared" si="28"/>
        <v>3447000</v>
      </c>
      <c r="AV21" s="12">
        <f t="shared" si="29"/>
        <v>2100000</v>
      </c>
      <c r="AW21" s="12">
        <f t="shared" si="30"/>
        <v>19300436.046511628</v>
      </c>
      <c r="AX21" s="12">
        <f t="shared" si="3"/>
        <v>129221236.04651162</v>
      </c>
      <c r="BC21">
        <f t="shared" si="40"/>
        <v>15</v>
      </c>
      <c r="BD21" s="12">
        <f>IF(MOD(B21-1,BatteryElectric!$E$21)=0,BatteryElectric!$E$34*1000000,0)</f>
        <v>0</v>
      </c>
      <c r="BE21" s="12">
        <f>IF(MOD(B21-1,BatteryElectric!$E$21)=0,BatteryElectric!$E$35*1000000,0)</f>
        <v>0</v>
      </c>
      <c r="BF21" s="12">
        <f>IF(MOD(B21-1,BatteryElectric!$E$24)=0,BatteryElectric!$E$37*1000000,0)</f>
        <v>0</v>
      </c>
      <c r="BG21" s="12">
        <f t="shared" si="31"/>
        <v>26000000</v>
      </c>
      <c r="BH21" s="12">
        <f t="shared" si="32"/>
        <v>15000000</v>
      </c>
      <c r="BI21" s="12">
        <f t="shared" si="33"/>
        <v>12000000</v>
      </c>
      <c r="BJ21" s="12">
        <f t="shared" si="34"/>
        <v>9275294.1176470593</v>
      </c>
      <c r="BK21" s="12">
        <f t="shared" si="35"/>
        <v>11037600</v>
      </c>
      <c r="BL21" s="12">
        <f t="shared" si="36"/>
        <v>1723500</v>
      </c>
      <c r="BM21" s="12">
        <f t="shared" si="37"/>
        <v>504000</v>
      </c>
      <c r="BN21" s="12">
        <f t="shared" si="38"/>
        <v>19300436.046511628</v>
      </c>
      <c r="BO21" s="12">
        <f t="shared" si="4"/>
        <v>94840830.164158672</v>
      </c>
    </row>
    <row r="22" spans="2:67" x14ac:dyDescent="0.25">
      <c r="B22">
        <f t="shared" si="41"/>
        <v>16</v>
      </c>
      <c r="C22" s="12">
        <f>IF(MOD(B22-1,HydrogenFC!$F$34)=0,HydrogenFC!$H$26*1000000*HydrogenFC!$F$42,0)</f>
        <v>0</v>
      </c>
      <c r="D22" s="12">
        <f>IF(MOD(B22-1,ROUND(HydrogenFC!$F$29/24/365,0))=0,HydrogenFC!$F$45,0)</f>
        <v>0</v>
      </c>
      <c r="E22" s="12">
        <f>IF(MOD(B22-1,HydrogenFC!$F$30)=0,HydrogenFC!$F$46,0)</f>
        <v>0</v>
      </c>
      <c r="F22" s="14">
        <f>IF(MOD(B22-1,HydrogenFC!$F$31)=0,HydrogenFC!$F$47,0)</f>
        <v>0</v>
      </c>
      <c r="G22" s="12">
        <f>IF(MOD(B22-1,HydrogenFC!$F$33)=0,HydrogenFC!$F$48+HydrogenFC!$F$49,0)</f>
        <v>0</v>
      </c>
      <c r="H22" s="12">
        <f>IF(MOD(B22-1,HydrogenFC!$F$34)=0,HydrogenFC!$F$51,0)</f>
        <v>0</v>
      </c>
      <c r="I22" s="12">
        <f t="shared" si="5"/>
        <v>30000000</v>
      </c>
      <c r="J22" s="12">
        <f t="shared" si="6"/>
        <v>29013075.000000007</v>
      </c>
      <c r="K22" s="12">
        <f t="shared" si="7"/>
        <v>535626.00000000012</v>
      </c>
      <c r="L22" s="12">
        <f t="shared" si="8"/>
        <v>1.4400000000000002</v>
      </c>
      <c r="M22" s="12">
        <f t="shared" si="9"/>
        <v>825756.75</v>
      </c>
      <c r="N22" s="12">
        <f t="shared" si="10"/>
        <v>1175240.7750000001</v>
      </c>
      <c r="O22" s="12">
        <f t="shared" si="39"/>
        <v>52783137.568931803</v>
      </c>
      <c r="P22" s="12">
        <f t="shared" si="11"/>
        <v>215365.65120000005</v>
      </c>
      <c r="Q22" s="12">
        <f t="shared" si="12"/>
        <v>15137280</v>
      </c>
      <c r="R22" s="12">
        <f t="shared" si="13"/>
        <v>2880000</v>
      </c>
      <c r="S22" s="12">
        <f t="shared" si="14"/>
        <v>20587131.782945737</v>
      </c>
      <c r="T22" s="12">
        <f t="shared" si="1"/>
        <v>153152614.96807754</v>
      </c>
      <c r="X22">
        <f t="shared" si="15"/>
        <v>16</v>
      </c>
      <c r="Y22" s="12">
        <f>IF(MOD(B22-1,Diesel!$E$27)=0,Diesel!$E$32*1000000,0)</f>
        <v>0</v>
      </c>
      <c r="Z22" s="12">
        <f>IF(MOD(B22-1,Diesel!$E$30)=0,Diesel!$E$35,0)</f>
        <v>0</v>
      </c>
      <c r="AA22" s="12">
        <f t="shared" si="16"/>
        <v>18000000</v>
      </c>
      <c r="AB22" s="12">
        <f t="shared" si="17"/>
        <v>3000000</v>
      </c>
      <c r="AC22" s="12">
        <f t="shared" si="18"/>
        <v>17660160</v>
      </c>
      <c r="AD22" s="12">
        <f t="shared" si="19"/>
        <v>16608960</v>
      </c>
      <c r="AE22" s="12">
        <f t="shared" si="20"/>
        <v>165600</v>
      </c>
      <c r="AF22" s="12">
        <f t="shared" si="21"/>
        <v>20587131.782945737</v>
      </c>
      <c r="AG22" s="12">
        <f t="shared" si="2"/>
        <v>76021851.782945737</v>
      </c>
      <c r="AL22">
        <f t="shared" si="22"/>
        <v>16</v>
      </c>
      <c r="AM22" s="12">
        <f>IF(MOD(B22-1,Electric!$E$21)=0,Electric!E48*1000000,0)</f>
        <v>0</v>
      </c>
      <c r="AN22" s="12">
        <f>IF(MOD(B22-1,Electric!$E$22)=0,Electric!E49*1000000,0)</f>
        <v>0</v>
      </c>
      <c r="AO22" s="12">
        <f>IF(MOD(B22-1,Electric!$E$24)=0,Electric!$E$36*1000000,0)</f>
        <v>0</v>
      </c>
      <c r="AP22" s="12">
        <f t="shared" si="23"/>
        <v>18000000</v>
      </c>
      <c r="AQ22" s="12">
        <f t="shared" si="24"/>
        <v>21000000</v>
      </c>
      <c r="AR22" s="12">
        <f t="shared" si="25"/>
        <v>50000000</v>
      </c>
      <c r="AS22" s="12">
        <f t="shared" si="26"/>
        <v>7989120.0000000009</v>
      </c>
      <c r="AT22" s="12">
        <f t="shared" si="27"/>
        <v>8409600</v>
      </c>
      <c r="AU22" s="12">
        <f t="shared" si="28"/>
        <v>3676800</v>
      </c>
      <c r="AV22" s="12">
        <f t="shared" si="29"/>
        <v>2240000</v>
      </c>
      <c r="AW22" s="12">
        <f t="shared" si="30"/>
        <v>20587131.782945737</v>
      </c>
      <c r="AX22" s="12">
        <f t="shared" si="3"/>
        <v>131902651.78294574</v>
      </c>
      <c r="BC22">
        <f t="shared" si="40"/>
        <v>16</v>
      </c>
      <c r="BD22" s="12">
        <f>IF(MOD(B22-1,BatteryElectric!$E$21)=0,BatteryElectric!$E$34*1000000,0)</f>
        <v>0</v>
      </c>
      <c r="BE22" s="12">
        <f>IF(MOD(B22-1,BatteryElectric!$E$21)=0,BatteryElectric!$E$35*1000000,0)</f>
        <v>0</v>
      </c>
      <c r="BF22" s="12">
        <f>IF(MOD(B22-1,BatteryElectric!$E$24)=0,BatteryElectric!$E$37*1000000,0)</f>
        <v>0</v>
      </c>
      <c r="BG22" s="12">
        <f t="shared" si="31"/>
        <v>26000000</v>
      </c>
      <c r="BH22" s="12">
        <f t="shared" si="32"/>
        <v>15000000</v>
      </c>
      <c r="BI22" s="12">
        <f t="shared" si="33"/>
        <v>12000000</v>
      </c>
      <c r="BJ22" s="12">
        <f t="shared" si="34"/>
        <v>9893647.0588235296</v>
      </c>
      <c r="BK22" s="12">
        <f t="shared" si="35"/>
        <v>11773440</v>
      </c>
      <c r="BL22" s="12">
        <f t="shared" si="36"/>
        <v>1838400</v>
      </c>
      <c r="BM22" s="12">
        <f t="shared" si="37"/>
        <v>537600</v>
      </c>
      <c r="BN22" s="12">
        <f t="shared" si="38"/>
        <v>20587131.782945737</v>
      </c>
      <c r="BO22" s="12">
        <f t="shared" si="4"/>
        <v>97630218.841769263</v>
      </c>
    </row>
    <row r="23" spans="2:67" x14ac:dyDescent="0.25">
      <c r="B23">
        <f t="shared" si="41"/>
        <v>17</v>
      </c>
      <c r="C23" s="12">
        <f>IF(MOD(B23-1,HydrogenFC!$F$34)=0,HydrogenFC!$H$26*1000000*HydrogenFC!$F$42,0)</f>
        <v>0</v>
      </c>
      <c r="D23" s="12">
        <f>IF(MOD(B23-1,ROUND(HydrogenFC!$F$29/24/365,0))=0,HydrogenFC!$F$45,0)</f>
        <v>0</v>
      </c>
      <c r="E23" s="12">
        <f>IF(MOD(B23-1,HydrogenFC!$F$30)=0,HydrogenFC!$F$46,0)</f>
        <v>0</v>
      </c>
      <c r="F23" s="14">
        <f>IF(MOD(B23-1,HydrogenFC!$F$31)=0,HydrogenFC!$F$47,0)</f>
        <v>0</v>
      </c>
      <c r="G23" s="12">
        <f>IF(MOD(B23-1,HydrogenFC!$F$33)=0,HydrogenFC!$F$48+HydrogenFC!$F$49,0)</f>
        <v>0</v>
      </c>
      <c r="H23" s="12">
        <f>IF(MOD(B23-1,HydrogenFC!$F$34)=0,HydrogenFC!$F$51,0)</f>
        <v>0</v>
      </c>
      <c r="I23" s="12">
        <f t="shared" si="5"/>
        <v>30000000</v>
      </c>
      <c r="J23" s="12">
        <f t="shared" si="6"/>
        <v>29013075.000000007</v>
      </c>
      <c r="K23" s="12">
        <f t="shared" si="7"/>
        <v>535626.00000000012</v>
      </c>
      <c r="L23" s="12">
        <f t="shared" si="8"/>
        <v>1.4400000000000002</v>
      </c>
      <c r="M23" s="12">
        <f t="shared" si="9"/>
        <v>825756.75</v>
      </c>
      <c r="N23" s="12">
        <f t="shared" si="10"/>
        <v>1175240.7750000001</v>
      </c>
      <c r="O23" s="12">
        <f t="shared" si="39"/>
        <v>56082083.666990042</v>
      </c>
      <c r="P23" s="12">
        <f t="shared" si="11"/>
        <v>228826.00440000006</v>
      </c>
      <c r="Q23" s="12">
        <f t="shared" si="12"/>
        <v>16083360</v>
      </c>
      <c r="R23" s="12">
        <f t="shared" si="13"/>
        <v>3060000</v>
      </c>
      <c r="S23" s="12">
        <f t="shared" si="14"/>
        <v>21873827.519379847</v>
      </c>
      <c r="T23" s="12">
        <f t="shared" si="1"/>
        <v>158877797.15576988</v>
      </c>
      <c r="X23">
        <f t="shared" si="15"/>
        <v>17</v>
      </c>
      <c r="Y23" s="12">
        <f>IF(MOD(B23-1,Diesel!$E$27)=0,Diesel!$E$32*1000000,0)</f>
        <v>0</v>
      </c>
      <c r="Z23" s="12">
        <f>IF(MOD(B23-1,Diesel!$E$30)=0,Diesel!$E$35,0)</f>
        <v>0</v>
      </c>
      <c r="AA23" s="12">
        <f t="shared" si="16"/>
        <v>18000000</v>
      </c>
      <c r="AB23" s="12">
        <f t="shared" si="17"/>
        <v>3000000</v>
      </c>
      <c r="AC23" s="12">
        <f t="shared" si="18"/>
        <v>18763920</v>
      </c>
      <c r="AD23" s="12">
        <f t="shared" si="19"/>
        <v>17647020</v>
      </c>
      <c r="AE23" s="12">
        <f t="shared" si="20"/>
        <v>175950</v>
      </c>
      <c r="AF23" s="12">
        <f t="shared" si="21"/>
        <v>21873827.519379847</v>
      </c>
      <c r="AG23" s="12">
        <f t="shared" si="2"/>
        <v>79460717.519379854</v>
      </c>
      <c r="AL23">
        <f t="shared" si="22"/>
        <v>17</v>
      </c>
      <c r="AM23" s="12">
        <f>IF(MOD(B23-1,Electric!$E$21)=0,Electric!E49*1000000,0)</f>
        <v>0</v>
      </c>
      <c r="AN23" s="12">
        <f>IF(MOD(B23-1,Electric!$E$22)=0,Electric!E50*1000000,0)</f>
        <v>0</v>
      </c>
      <c r="AO23" s="12">
        <f>IF(MOD(B23-1,Electric!$E$24)=0,Electric!$E$36*1000000,0)</f>
        <v>0</v>
      </c>
      <c r="AP23" s="12">
        <f t="shared" si="23"/>
        <v>18000000</v>
      </c>
      <c r="AQ23" s="12">
        <f t="shared" si="24"/>
        <v>21000000</v>
      </c>
      <c r="AR23" s="12">
        <f t="shared" si="25"/>
        <v>50000000</v>
      </c>
      <c r="AS23" s="12">
        <f t="shared" si="26"/>
        <v>8488440.0000000019</v>
      </c>
      <c r="AT23" s="12">
        <f t="shared" si="27"/>
        <v>8935200</v>
      </c>
      <c r="AU23" s="12">
        <f t="shared" si="28"/>
        <v>3906600</v>
      </c>
      <c r="AV23" s="12">
        <f t="shared" si="29"/>
        <v>2380000</v>
      </c>
      <c r="AW23" s="12">
        <f t="shared" si="30"/>
        <v>21873827.519379847</v>
      </c>
      <c r="AX23" s="12">
        <f t="shared" si="3"/>
        <v>134584067.51937985</v>
      </c>
      <c r="BC23">
        <f t="shared" si="40"/>
        <v>17</v>
      </c>
      <c r="BD23" s="12">
        <f>IF(MOD(B23-1,BatteryElectric!$E$21)=0,BatteryElectric!$E$34*1000000,0)</f>
        <v>0</v>
      </c>
      <c r="BE23" s="12">
        <f>IF(MOD(B23-1,BatteryElectric!$E$21)=0,BatteryElectric!$E$35*1000000,0)</f>
        <v>0</v>
      </c>
      <c r="BF23" s="12">
        <f>IF(MOD(B23-1,BatteryElectric!$E$24)=0,BatteryElectric!$E$37*1000000,0)</f>
        <v>0</v>
      </c>
      <c r="BG23" s="12">
        <f t="shared" si="31"/>
        <v>26000000</v>
      </c>
      <c r="BH23" s="12">
        <f t="shared" si="32"/>
        <v>15000000</v>
      </c>
      <c r="BI23" s="12">
        <f t="shared" si="33"/>
        <v>12000000</v>
      </c>
      <c r="BJ23" s="12">
        <f t="shared" si="34"/>
        <v>10512000</v>
      </c>
      <c r="BK23" s="12">
        <f t="shared" si="35"/>
        <v>12509280</v>
      </c>
      <c r="BL23" s="12">
        <f t="shared" si="36"/>
        <v>1953300</v>
      </c>
      <c r="BM23" s="12">
        <f t="shared" si="37"/>
        <v>571200</v>
      </c>
      <c r="BN23" s="12">
        <f t="shared" si="38"/>
        <v>21873827.519379847</v>
      </c>
      <c r="BO23" s="12">
        <f t="shared" si="4"/>
        <v>100419607.51937985</v>
      </c>
    </row>
    <row r="24" spans="2:67" x14ac:dyDescent="0.25">
      <c r="B24">
        <f t="shared" si="41"/>
        <v>18</v>
      </c>
      <c r="C24" s="12">
        <f>IF(MOD(B24-1,HydrogenFC!$F$34)=0,HydrogenFC!$H$26*1000000*HydrogenFC!$F$42,0)</f>
        <v>0</v>
      </c>
      <c r="D24" s="12">
        <f>IF(MOD(B24-1,ROUND(HydrogenFC!$F$29/24/365,0))=0,HydrogenFC!$F$45,0)</f>
        <v>0</v>
      </c>
      <c r="E24" s="12">
        <f>IF(MOD(B24-1,HydrogenFC!$F$30)=0,HydrogenFC!$F$46,0)</f>
        <v>0</v>
      </c>
      <c r="F24" s="14">
        <f>IF(MOD(B24-1,HydrogenFC!$F$31)=0,HydrogenFC!$F$47,0)</f>
        <v>0</v>
      </c>
      <c r="G24" s="12">
        <f>IF(MOD(B24-1,HydrogenFC!$F$33)=0,HydrogenFC!$F$48+HydrogenFC!$F$49,0)</f>
        <v>0</v>
      </c>
      <c r="H24" s="12">
        <f>IF(MOD(B24-1,HydrogenFC!$F$34)=0,HydrogenFC!$F$51,0)</f>
        <v>0</v>
      </c>
      <c r="I24" s="12">
        <f t="shared" si="5"/>
        <v>30000000</v>
      </c>
      <c r="J24" s="12">
        <f t="shared" si="6"/>
        <v>29013075.000000007</v>
      </c>
      <c r="K24" s="12">
        <f t="shared" si="7"/>
        <v>535626.00000000012</v>
      </c>
      <c r="L24" s="12">
        <f t="shared" si="8"/>
        <v>1.4400000000000002</v>
      </c>
      <c r="M24" s="12">
        <f t="shared" si="9"/>
        <v>825756.75</v>
      </c>
      <c r="N24" s="12">
        <f t="shared" si="10"/>
        <v>1175240.7750000001</v>
      </c>
      <c r="O24" s="12">
        <f t="shared" si="39"/>
        <v>59381029.76504828</v>
      </c>
      <c r="P24" s="12">
        <f t="shared" si="11"/>
        <v>242286.35760000005</v>
      </c>
      <c r="Q24" s="12">
        <f t="shared" si="12"/>
        <v>17029440</v>
      </c>
      <c r="R24" s="12">
        <f t="shared" si="13"/>
        <v>3240000</v>
      </c>
      <c r="S24" s="12">
        <f t="shared" si="14"/>
        <v>23160523.255813956</v>
      </c>
      <c r="T24" s="12">
        <f t="shared" si="1"/>
        <v>164602979.34346223</v>
      </c>
      <c r="X24">
        <f t="shared" si="15"/>
        <v>18</v>
      </c>
      <c r="Y24" s="12">
        <f>IF(MOD(B24-1,Diesel!$E$27)=0,Diesel!$E$32*1000000,0)</f>
        <v>0</v>
      </c>
      <c r="Z24" s="12">
        <f>IF(MOD(B24-1,Diesel!$E$30)=0,Diesel!$E$35,0)</f>
        <v>0</v>
      </c>
      <c r="AA24" s="12">
        <f t="shared" si="16"/>
        <v>18000000</v>
      </c>
      <c r="AB24" s="12">
        <f t="shared" si="17"/>
        <v>3000000</v>
      </c>
      <c r="AC24" s="12">
        <f t="shared" si="18"/>
        <v>19867680</v>
      </c>
      <c r="AD24" s="12">
        <f t="shared" si="19"/>
        <v>18685080</v>
      </c>
      <c r="AE24" s="12">
        <f t="shared" si="20"/>
        <v>186300</v>
      </c>
      <c r="AF24" s="12">
        <f t="shared" si="21"/>
        <v>23160523.255813956</v>
      </c>
      <c r="AG24" s="12">
        <f t="shared" si="2"/>
        <v>82899583.255813956</v>
      </c>
      <c r="AL24">
        <f t="shared" si="22"/>
        <v>18</v>
      </c>
      <c r="AM24" s="12">
        <f>IF(MOD(B24-1,Electric!$E$21)=0,Electric!E50*1000000,0)</f>
        <v>0</v>
      </c>
      <c r="AN24" s="12">
        <f>IF(MOD(B24-1,Electric!$E$22)=0,Electric!E51*1000000,0)</f>
        <v>0</v>
      </c>
      <c r="AO24" s="12">
        <f>IF(MOD(B24-1,Electric!$E$24)=0,Electric!$E$36*1000000,0)</f>
        <v>0</v>
      </c>
      <c r="AP24" s="12">
        <f t="shared" si="23"/>
        <v>18000000</v>
      </c>
      <c r="AQ24" s="12">
        <f t="shared" si="24"/>
        <v>21000000</v>
      </c>
      <c r="AR24" s="12">
        <f t="shared" si="25"/>
        <v>50000000</v>
      </c>
      <c r="AS24" s="12">
        <f t="shared" si="26"/>
        <v>8987760.0000000019</v>
      </c>
      <c r="AT24" s="12">
        <f t="shared" si="27"/>
        <v>9460800</v>
      </c>
      <c r="AU24" s="12">
        <f t="shared" si="28"/>
        <v>4136400</v>
      </c>
      <c r="AV24" s="12">
        <f t="shared" si="29"/>
        <v>2520000</v>
      </c>
      <c r="AW24" s="12">
        <f t="shared" si="30"/>
        <v>23160523.255813956</v>
      </c>
      <c r="AX24" s="12">
        <f t="shared" si="3"/>
        <v>137265483.25581396</v>
      </c>
      <c r="BC24">
        <f t="shared" si="40"/>
        <v>18</v>
      </c>
      <c r="BD24" s="12">
        <f>IF(MOD(B24-1,BatteryElectric!$E$21)=0,BatteryElectric!$E$34*1000000,0)</f>
        <v>0</v>
      </c>
      <c r="BE24" s="12">
        <f>IF(MOD(B24-1,BatteryElectric!$E$21)=0,BatteryElectric!$E$35*1000000,0)</f>
        <v>0</v>
      </c>
      <c r="BF24" s="12">
        <f>IF(MOD(B24-1,BatteryElectric!$E$24)=0,BatteryElectric!$E$37*1000000,0)</f>
        <v>0</v>
      </c>
      <c r="BG24" s="12">
        <f t="shared" si="31"/>
        <v>26000000</v>
      </c>
      <c r="BH24" s="12">
        <f t="shared" si="32"/>
        <v>15000000</v>
      </c>
      <c r="BI24" s="12">
        <f t="shared" si="33"/>
        <v>12000000</v>
      </c>
      <c r="BJ24" s="12">
        <f t="shared" si="34"/>
        <v>11130352.94117647</v>
      </c>
      <c r="BK24" s="12">
        <f t="shared" si="35"/>
        <v>13245120</v>
      </c>
      <c r="BL24" s="12">
        <f t="shared" si="36"/>
        <v>2068200</v>
      </c>
      <c r="BM24" s="12">
        <f t="shared" si="37"/>
        <v>604800</v>
      </c>
      <c r="BN24" s="12">
        <f t="shared" si="38"/>
        <v>23160523.255813956</v>
      </c>
      <c r="BO24" s="12">
        <f t="shared" si="4"/>
        <v>103208996.19699043</v>
      </c>
    </row>
    <row r="25" spans="2:67" x14ac:dyDescent="0.25">
      <c r="B25">
        <f t="shared" si="41"/>
        <v>19</v>
      </c>
      <c r="C25" s="12">
        <f>IF(MOD(B25-1,HydrogenFC!$F$34)=0,HydrogenFC!$H$26*1000000*HydrogenFC!$F$42,0)</f>
        <v>0</v>
      </c>
      <c r="D25" s="12">
        <f>IF(MOD(B25-1,ROUND(HydrogenFC!$F$29/24/365,0))=0,HydrogenFC!$F$45,0)</f>
        <v>9671025.0000000019</v>
      </c>
      <c r="E25" s="12">
        <f>IF(MOD(B25-1,HydrogenFC!$F$30)=0,HydrogenFC!$F$46,0)</f>
        <v>0</v>
      </c>
      <c r="F25" s="14">
        <f>IF(MOD(B25-1,HydrogenFC!$F$31)=0,HydrogenFC!$F$47,0)</f>
        <v>0</v>
      </c>
      <c r="G25" s="12">
        <f>IF(MOD(B25-1,HydrogenFC!$F$33)=0,HydrogenFC!$F$48+HydrogenFC!$F$49,0)</f>
        <v>0</v>
      </c>
      <c r="H25" s="12">
        <f>IF(MOD(B25-1,HydrogenFC!$F$34)=0,HydrogenFC!$F$51,0)</f>
        <v>0</v>
      </c>
      <c r="I25" s="12">
        <f t="shared" si="5"/>
        <v>30000000</v>
      </c>
      <c r="J25" s="12">
        <f t="shared" si="6"/>
        <v>38684100.000000007</v>
      </c>
      <c r="K25" s="12">
        <f t="shared" si="7"/>
        <v>535626.00000000012</v>
      </c>
      <c r="L25" s="12">
        <f t="shared" si="8"/>
        <v>1.4400000000000002</v>
      </c>
      <c r="M25" s="12">
        <f t="shared" si="9"/>
        <v>825756.75</v>
      </c>
      <c r="N25" s="12">
        <f t="shared" si="10"/>
        <v>1175240.7750000001</v>
      </c>
      <c r="O25" s="12">
        <f t="shared" si="39"/>
        <v>62679975.863106519</v>
      </c>
      <c r="P25" s="12">
        <f t="shared" si="11"/>
        <v>255746.71080000006</v>
      </c>
      <c r="Q25" s="12">
        <f t="shared" si="12"/>
        <v>17975520</v>
      </c>
      <c r="R25" s="12">
        <f t="shared" si="13"/>
        <v>3420000</v>
      </c>
      <c r="S25" s="12">
        <f t="shared" si="14"/>
        <v>24447218.992248062</v>
      </c>
      <c r="T25" s="12">
        <f t="shared" si="1"/>
        <v>179999186.53115457</v>
      </c>
      <c r="X25">
        <f t="shared" si="15"/>
        <v>19</v>
      </c>
      <c r="Y25" s="12">
        <f>IF(MOD(B25-1,Diesel!$E$27)=0,Diesel!$E$32*1000000,0)</f>
        <v>0</v>
      </c>
      <c r="Z25" s="12">
        <f>IF(MOD(B25-1,Diesel!$E$30)=0,Diesel!$E$35,0)</f>
        <v>0</v>
      </c>
      <c r="AA25" s="12">
        <f t="shared" si="16"/>
        <v>18000000</v>
      </c>
      <c r="AB25" s="12">
        <f t="shared" si="17"/>
        <v>3000000</v>
      </c>
      <c r="AC25" s="12">
        <f t="shared" si="18"/>
        <v>20971440</v>
      </c>
      <c r="AD25" s="12">
        <f t="shared" si="19"/>
        <v>19723140</v>
      </c>
      <c r="AE25" s="12">
        <f t="shared" si="20"/>
        <v>196650</v>
      </c>
      <c r="AF25" s="12">
        <f t="shared" si="21"/>
        <v>24447218.992248062</v>
      </c>
      <c r="AG25" s="12">
        <f t="shared" si="2"/>
        <v>86338448.992248058</v>
      </c>
      <c r="AL25">
        <f t="shared" si="22"/>
        <v>19</v>
      </c>
      <c r="AM25" s="12">
        <f>IF(MOD(B25-1,Electric!$E$21)=0,Electric!E51*1000000,0)</f>
        <v>0</v>
      </c>
      <c r="AN25" s="12">
        <f>IF(MOD(B25-1,Electric!$E$22)=0,Electric!E52*1000000,0)</f>
        <v>0</v>
      </c>
      <c r="AO25" s="12">
        <f>IF(MOD(B25-1,Electric!$E$24)=0,Electric!$E$36*1000000,0)</f>
        <v>0</v>
      </c>
      <c r="AP25" s="12">
        <f t="shared" si="23"/>
        <v>18000000</v>
      </c>
      <c r="AQ25" s="12">
        <f t="shared" si="24"/>
        <v>21000000</v>
      </c>
      <c r="AR25" s="12">
        <f t="shared" si="25"/>
        <v>50000000</v>
      </c>
      <c r="AS25" s="12">
        <f t="shared" si="26"/>
        <v>9487080.0000000019</v>
      </c>
      <c r="AT25" s="12">
        <f t="shared" si="27"/>
        <v>9986400</v>
      </c>
      <c r="AU25" s="12">
        <f t="shared" si="28"/>
        <v>4366200</v>
      </c>
      <c r="AV25" s="12">
        <f t="shared" si="29"/>
        <v>2660000</v>
      </c>
      <c r="AW25" s="12">
        <f t="shared" si="30"/>
        <v>24447218.992248062</v>
      </c>
      <c r="AX25" s="12">
        <f t="shared" si="3"/>
        <v>139946898.99224806</v>
      </c>
      <c r="BC25">
        <f t="shared" si="40"/>
        <v>19</v>
      </c>
      <c r="BD25" s="12">
        <f>IF(MOD(B25-1,BatteryElectric!$E$21)=0,BatteryElectric!$E$34*1000000,0)</f>
        <v>0</v>
      </c>
      <c r="BE25" s="12">
        <f>IF(MOD(B25-1,BatteryElectric!$E$21)=0,BatteryElectric!$E$35*1000000,0)</f>
        <v>0</v>
      </c>
      <c r="BF25" s="12">
        <f>IF(MOD(B25-1,BatteryElectric!$E$24)=0,BatteryElectric!$E$37*1000000,0)</f>
        <v>0</v>
      </c>
      <c r="BG25" s="12">
        <f t="shared" si="31"/>
        <v>26000000</v>
      </c>
      <c r="BH25" s="12">
        <f t="shared" si="32"/>
        <v>15000000</v>
      </c>
      <c r="BI25" s="12">
        <f t="shared" si="33"/>
        <v>12000000</v>
      </c>
      <c r="BJ25" s="12">
        <f t="shared" si="34"/>
        <v>11748705.882352941</v>
      </c>
      <c r="BK25" s="12">
        <f t="shared" si="35"/>
        <v>13980960</v>
      </c>
      <c r="BL25" s="12">
        <f t="shared" si="36"/>
        <v>2183100</v>
      </c>
      <c r="BM25" s="12">
        <f t="shared" si="37"/>
        <v>638400</v>
      </c>
      <c r="BN25" s="12">
        <f t="shared" si="38"/>
        <v>24447218.992248062</v>
      </c>
      <c r="BO25" s="12">
        <f t="shared" si="4"/>
        <v>105998384.87460101</v>
      </c>
    </row>
    <row r="26" spans="2:67" x14ac:dyDescent="0.25">
      <c r="B26">
        <f>B25+1</f>
        <v>20</v>
      </c>
      <c r="C26" s="12">
        <f>IF(MOD(B26-1,HydrogenFC!$F$34)=0,HydrogenFC!$H$26*1000000*HydrogenFC!$F$42,0)</f>
        <v>0</v>
      </c>
      <c r="D26" s="12">
        <f>IF(MOD(B26-1,ROUND(HydrogenFC!$F$29/24/365,0))=0,HydrogenFC!$F$45,0)</f>
        <v>0</v>
      </c>
      <c r="E26" s="12">
        <f>IF(MOD(B26-1,HydrogenFC!$F$30)=0,HydrogenFC!$F$46,0)</f>
        <v>0</v>
      </c>
      <c r="F26" s="14">
        <f>IF(MOD(B26-1,HydrogenFC!$F$31)=0,HydrogenFC!$F$47,0)</f>
        <v>0</v>
      </c>
      <c r="G26" s="12">
        <f>IF(MOD(B26-1,HydrogenFC!$F$33)=0,HydrogenFC!$F$48+HydrogenFC!$F$49,0)</f>
        <v>0</v>
      </c>
      <c r="H26" s="12">
        <f>IF(MOD(B26-1,HydrogenFC!$F$34)=0,HydrogenFC!$F$51,0)</f>
        <v>0</v>
      </c>
      <c r="I26" s="12">
        <f t="shared" si="5"/>
        <v>30000000</v>
      </c>
      <c r="J26" s="12">
        <f t="shared" si="6"/>
        <v>38684100.000000007</v>
      </c>
      <c r="K26" s="12">
        <f t="shared" si="7"/>
        <v>535626.00000000012</v>
      </c>
      <c r="L26" s="12">
        <f t="shared" si="8"/>
        <v>1.4400000000000002</v>
      </c>
      <c r="M26" s="12">
        <f t="shared" si="9"/>
        <v>825756.75</v>
      </c>
      <c r="N26" s="12">
        <f t="shared" si="10"/>
        <v>1175240.7750000001</v>
      </c>
      <c r="O26" s="12">
        <f t="shared" si="39"/>
        <v>65978921.961164758</v>
      </c>
      <c r="P26" s="12">
        <f t="shared" si="11"/>
        <v>269207.06400000007</v>
      </c>
      <c r="Q26" s="12">
        <f t="shared" si="12"/>
        <v>18921600</v>
      </c>
      <c r="R26" s="12">
        <f t="shared" si="13"/>
        <v>3600000</v>
      </c>
      <c r="S26" s="12">
        <f t="shared" si="14"/>
        <v>25733914.728682172</v>
      </c>
      <c r="T26" s="12">
        <f t="shared" si="1"/>
        <v>185724368.71884692</v>
      </c>
      <c r="X26">
        <f t="shared" si="15"/>
        <v>20</v>
      </c>
      <c r="Y26" s="12">
        <f>IF(MOD(B26-1,Diesel!$E$27)=0,Diesel!$E$32*1000000,0)</f>
        <v>0</v>
      </c>
      <c r="Z26" s="12">
        <f>IF(MOD(B26-1,Diesel!$E$30)=0,Diesel!$E$35,0)</f>
        <v>0</v>
      </c>
      <c r="AA26" s="12">
        <f t="shared" si="16"/>
        <v>18000000</v>
      </c>
      <c r="AB26" s="12">
        <f t="shared" si="17"/>
        <v>3000000</v>
      </c>
      <c r="AC26" s="12">
        <f t="shared" si="18"/>
        <v>22075200</v>
      </c>
      <c r="AD26" s="12">
        <f t="shared" si="19"/>
        <v>20761200</v>
      </c>
      <c r="AE26" s="12">
        <f t="shared" si="20"/>
        <v>207000</v>
      </c>
      <c r="AF26" s="12">
        <f t="shared" si="21"/>
        <v>25733914.728682172</v>
      </c>
      <c r="AG26" s="12">
        <f t="shared" si="2"/>
        <v>89777314.728682175</v>
      </c>
      <c r="AL26">
        <f t="shared" si="22"/>
        <v>20</v>
      </c>
      <c r="AM26" s="12">
        <f>IF(MOD(B26-1,Electric!$E$21)=0,Electric!E52*1000000,0)</f>
        <v>0</v>
      </c>
      <c r="AN26" s="12">
        <f>IF(MOD(B26-1,Electric!$E$22)=0,Electric!E53*1000000,0)</f>
        <v>0</v>
      </c>
      <c r="AO26" s="12">
        <f>IF(MOD(B26-1,Electric!$E$24)=0,Electric!$E$36*1000000,0)</f>
        <v>0</v>
      </c>
      <c r="AP26" s="12">
        <f t="shared" si="23"/>
        <v>18000000</v>
      </c>
      <c r="AQ26" s="12">
        <f t="shared" si="24"/>
        <v>21000000</v>
      </c>
      <c r="AR26" s="12">
        <f t="shared" si="25"/>
        <v>50000000</v>
      </c>
      <c r="AS26" s="12">
        <f t="shared" si="26"/>
        <v>9986400.0000000019</v>
      </c>
      <c r="AT26" s="12">
        <f t="shared" si="27"/>
        <v>10512000</v>
      </c>
      <c r="AU26" s="12">
        <f t="shared" si="28"/>
        <v>4596000</v>
      </c>
      <c r="AV26" s="12">
        <f t="shared" si="29"/>
        <v>2800000</v>
      </c>
      <c r="AW26" s="12">
        <f t="shared" si="30"/>
        <v>25733914.728682172</v>
      </c>
      <c r="AX26" s="12">
        <f t="shared" si="3"/>
        <v>142628314.72868216</v>
      </c>
      <c r="BC26">
        <f t="shared" si="40"/>
        <v>20</v>
      </c>
      <c r="BD26" s="12">
        <f>IF(MOD(B26-1,BatteryElectric!$E$21)=0,BatteryElectric!$E$34*1000000,0)</f>
        <v>0</v>
      </c>
      <c r="BE26" s="12">
        <f>IF(MOD(B26-1,BatteryElectric!$E$21)=0,BatteryElectric!$E$35*1000000,0)</f>
        <v>0</v>
      </c>
      <c r="BF26" s="12">
        <f>IF(MOD(B26-1,BatteryElectric!$E$24)=0,BatteryElectric!$E$37*1000000,0)</f>
        <v>0</v>
      </c>
      <c r="BG26" s="12">
        <f t="shared" si="31"/>
        <v>26000000</v>
      </c>
      <c r="BH26" s="12">
        <f t="shared" si="32"/>
        <v>15000000</v>
      </c>
      <c r="BI26" s="12">
        <f t="shared" si="33"/>
        <v>12000000</v>
      </c>
      <c r="BJ26" s="12">
        <f t="shared" si="34"/>
        <v>12367058.823529411</v>
      </c>
      <c r="BK26" s="12">
        <f t="shared" si="35"/>
        <v>14716800</v>
      </c>
      <c r="BL26" s="12">
        <f t="shared" si="36"/>
        <v>2298000</v>
      </c>
      <c r="BM26" s="12">
        <f t="shared" si="37"/>
        <v>672000</v>
      </c>
      <c r="BN26" s="12">
        <f t="shared" si="38"/>
        <v>25733914.728682172</v>
      </c>
      <c r="BO26" s="12">
        <f t="shared" si="4"/>
        <v>108787773.55221158</v>
      </c>
    </row>
    <row r="27" spans="2:67" x14ac:dyDescent="0.25">
      <c r="B27">
        <f t="shared" si="41"/>
        <v>21</v>
      </c>
      <c r="C27" s="12">
        <f>IF(MOD(B27-1,HydrogenFC!$F$34)=0,HydrogenFC!$H$26*1000000*HydrogenFC!$F$42,0)</f>
        <v>0</v>
      </c>
      <c r="D27" s="12">
        <f>IF(MOD(B27-1,ROUND(HydrogenFC!$F$29/24/365,0))=0,HydrogenFC!$F$45,0)</f>
        <v>0</v>
      </c>
      <c r="E27" s="12">
        <f>IF(MOD(B27-1,HydrogenFC!$F$30)=0,HydrogenFC!$F$46,0)</f>
        <v>535626.00000000012</v>
      </c>
      <c r="F27" s="14">
        <f>IF(MOD(B27-1,HydrogenFC!$F$31)=0,HydrogenFC!$F$47,0)</f>
        <v>0.72000000000000008</v>
      </c>
      <c r="G27" s="12">
        <f>IF(MOD(B27-1,HydrogenFC!$F$33)=0,HydrogenFC!$F$48+HydrogenFC!$F$49,0)</f>
        <v>825756.75</v>
      </c>
      <c r="H27" s="12">
        <f>IF(MOD(B27-1,HydrogenFC!$F$34)=0,HydrogenFC!$F$51,0)</f>
        <v>0</v>
      </c>
      <c r="I27" s="12">
        <f t="shared" si="5"/>
        <v>30000000</v>
      </c>
      <c r="J27" s="12">
        <f t="shared" si="6"/>
        <v>38684100.000000007</v>
      </c>
      <c r="K27" s="12">
        <f t="shared" si="7"/>
        <v>1071252.0000000002</v>
      </c>
      <c r="L27" s="12">
        <f t="shared" si="8"/>
        <v>2.16</v>
      </c>
      <c r="M27" s="12">
        <f t="shared" si="9"/>
        <v>1651513.5</v>
      </c>
      <c r="N27" s="12">
        <f t="shared" si="10"/>
        <v>1175240.7750000001</v>
      </c>
      <c r="O27" s="12">
        <f t="shared" si="39"/>
        <v>69277868.059222996</v>
      </c>
      <c r="P27" s="12">
        <f t="shared" si="11"/>
        <v>282667.41720000008</v>
      </c>
      <c r="Q27" s="12">
        <f t="shared" si="12"/>
        <v>19867680</v>
      </c>
      <c r="R27" s="12">
        <f t="shared" si="13"/>
        <v>3780000</v>
      </c>
      <c r="S27" s="12">
        <f t="shared" si="14"/>
        <v>27020610.465116281</v>
      </c>
      <c r="T27" s="12">
        <f t="shared" si="1"/>
        <v>192810934.37653929</v>
      </c>
      <c r="X27">
        <f t="shared" si="15"/>
        <v>21</v>
      </c>
      <c r="Y27" s="12">
        <f>IF(MOD(B27-1,Diesel!$E$27)=0,Diesel!$E$32*1000000,0)</f>
        <v>0</v>
      </c>
      <c r="Z27" s="12">
        <f>IF(MOD(B27-1,Diesel!$E$30)=0,Diesel!$E$35,0)</f>
        <v>3000000</v>
      </c>
      <c r="AA27" s="12">
        <f t="shared" si="16"/>
        <v>18000000</v>
      </c>
      <c r="AB27" s="12">
        <f t="shared" si="17"/>
        <v>6000000</v>
      </c>
      <c r="AC27" s="12">
        <f t="shared" si="18"/>
        <v>23178960</v>
      </c>
      <c r="AD27" s="12">
        <f t="shared" si="19"/>
        <v>21799260</v>
      </c>
      <c r="AE27" s="12">
        <f t="shared" si="20"/>
        <v>217350</v>
      </c>
      <c r="AF27" s="12">
        <f t="shared" si="21"/>
        <v>27020610.465116281</v>
      </c>
      <c r="AG27" s="12">
        <f t="shared" si="2"/>
        <v>96216180.465116277</v>
      </c>
      <c r="AL27">
        <f t="shared" si="22"/>
        <v>21</v>
      </c>
      <c r="AM27" s="12">
        <f>IF(MOD(B27-1,Electric!$E$21)=0,Electric!E53*1000000,0)</f>
        <v>0</v>
      </c>
      <c r="AN27" s="12">
        <f>IF(MOD(B27-1,Electric!$E$22)=0,Electric!E54*1000000,0)</f>
        <v>0</v>
      </c>
      <c r="AO27" s="12">
        <f>IF(MOD(B27-1,Electric!$E$24)=0,Electric!$E$36*1000000,0)</f>
        <v>0</v>
      </c>
      <c r="AP27" s="12">
        <f t="shared" si="23"/>
        <v>18000000</v>
      </c>
      <c r="AQ27" s="12">
        <f t="shared" si="24"/>
        <v>21000000</v>
      </c>
      <c r="AR27" s="12">
        <f t="shared" si="25"/>
        <v>50000000</v>
      </c>
      <c r="AS27" s="12">
        <f t="shared" si="26"/>
        <v>10485720.000000002</v>
      </c>
      <c r="AT27" s="12">
        <f t="shared" si="27"/>
        <v>11037600</v>
      </c>
      <c r="AU27" s="12">
        <f t="shared" si="28"/>
        <v>4825800</v>
      </c>
      <c r="AV27" s="12">
        <f t="shared" si="29"/>
        <v>2940000</v>
      </c>
      <c r="AW27" s="12">
        <f t="shared" si="30"/>
        <v>27020610.465116281</v>
      </c>
      <c r="AX27" s="12">
        <f t="shared" si="3"/>
        <v>145309730.46511629</v>
      </c>
      <c r="BC27">
        <f t="shared" si="40"/>
        <v>21</v>
      </c>
      <c r="BD27" s="12">
        <f>IF(MOD(B27-1,BatteryElectric!$E$21)=0,BatteryElectric!$E$34*1000000,0)</f>
        <v>0</v>
      </c>
      <c r="BE27" s="12">
        <f>IF(MOD(B27-1,BatteryElectric!$E$21)=0,BatteryElectric!$E$35*1000000,0)</f>
        <v>0</v>
      </c>
      <c r="BF27" s="12">
        <f>IF(MOD(B27-1,BatteryElectric!$E$24)=0,BatteryElectric!$E$37*1000000,0)</f>
        <v>0</v>
      </c>
      <c r="BG27" s="12">
        <f t="shared" si="31"/>
        <v>26000000</v>
      </c>
      <c r="BH27" s="12">
        <f t="shared" si="32"/>
        <v>15000000</v>
      </c>
      <c r="BI27" s="12">
        <f t="shared" si="33"/>
        <v>12000000</v>
      </c>
      <c r="BJ27" s="12">
        <f t="shared" si="34"/>
        <v>12985411.764705883</v>
      </c>
      <c r="BK27" s="12">
        <f t="shared" si="35"/>
        <v>15452640</v>
      </c>
      <c r="BL27" s="12">
        <f t="shared" si="36"/>
        <v>2412900</v>
      </c>
      <c r="BM27" s="12">
        <f t="shared" si="37"/>
        <v>705600</v>
      </c>
      <c r="BN27" s="12">
        <f t="shared" si="38"/>
        <v>27020610.465116281</v>
      </c>
      <c r="BO27" s="12">
        <f t="shared" si="4"/>
        <v>111577162.22982216</v>
      </c>
    </row>
    <row r="28" spans="2:67" x14ac:dyDescent="0.25">
      <c r="B28">
        <f t="shared" si="41"/>
        <v>22</v>
      </c>
      <c r="C28" s="12">
        <f>IF(MOD(B28-1,HydrogenFC!$F$34)=0,HydrogenFC!$H$26*1000000*HydrogenFC!$F$42,0)</f>
        <v>0</v>
      </c>
      <c r="D28" s="12">
        <f>IF(MOD(B28-1,ROUND(HydrogenFC!$F$29/24/365,0))=0,HydrogenFC!$F$45,0)</f>
        <v>0</v>
      </c>
      <c r="E28" s="12">
        <f>IF(MOD(B28-1,HydrogenFC!$F$30)=0,HydrogenFC!$F$46,0)</f>
        <v>0</v>
      </c>
      <c r="F28" s="14">
        <f>IF(MOD(B28-1,HydrogenFC!$F$31)=0,HydrogenFC!$F$47,0)</f>
        <v>0</v>
      </c>
      <c r="G28" s="12">
        <f>IF(MOD(B28-1,HydrogenFC!$F$33)=0,HydrogenFC!$F$48+HydrogenFC!$F$49,0)</f>
        <v>0</v>
      </c>
      <c r="H28" s="12">
        <f>IF(MOD(B28-1,HydrogenFC!$F$34)=0,HydrogenFC!$F$51,0)</f>
        <v>0</v>
      </c>
      <c r="I28" s="12">
        <f t="shared" si="5"/>
        <v>30000000</v>
      </c>
      <c r="J28" s="12">
        <f t="shared" si="6"/>
        <v>38684100.000000007</v>
      </c>
      <c r="K28" s="12">
        <f t="shared" si="7"/>
        <v>1071252.0000000002</v>
      </c>
      <c r="L28" s="12">
        <f t="shared" si="8"/>
        <v>2.16</v>
      </c>
      <c r="M28" s="12">
        <f t="shared" si="9"/>
        <v>1651513.5</v>
      </c>
      <c r="N28" s="12">
        <f t="shared" si="10"/>
        <v>1175240.7750000001</v>
      </c>
      <c r="O28" s="12">
        <f t="shared" si="39"/>
        <v>72576814.157281235</v>
      </c>
      <c r="P28" s="12">
        <f t="shared" si="11"/>
        <v>296127.7704000001</v>
      </c>
      <c r="Q28" s="12">
        <f t="shared" si="12"/>
        <v>20813760</v>
      </c>
      <c r="R28" s="12">
        <f t="shared" si="13"/>
        <v>3960000</v>
      </c>
      <c r="S28" s="12">
        <f t="shared" si="14"/>
        <v>28307306.201550387</v>
      </c>
      <c r="T28" s="12">
        <f t="shared" si="1"/>
        <v>198536116.5642316</v>
      </c>
      <c r="X28">
        <f t="shared" si="15"/>
        <v>22</v>
      </c>
      <c r="Y28" s="12">
        <f>IF(MOD(B28-1,Diesel!$E$27)=0,Diesel!$E$32*1000000,0)</f>
        <v>0</v>
      </c>
      <c r="Z28" s="12">
        <f>IF(MOD(B28-1,Diesel!$E$30)=0,Diesel!$E$35,0)</f>
        <v>0</v>
      </c>
      <c r="AA28" s="12">
        <f t="shared" si="16"/>
        <v>18000000</v>
      </c>
      <c r="AB28" s="12">
        <f t="shared" si="17"/>
        <v>6000000</v>
      </c>
      <c r="AC28" s="12">
        <f t="shared" si="18"/>
        <v>24282720</v>
      </c>
      <c r="AD28" s="12">
        <f t="shared" si="19"/>
        <v>22837320</v>
      </c>
      <c r="AE28" s="12">
        <f t="shared" si="20"/>
        <v>227700</v>
      </c>
      <c r="AF28" s="12">
        <f t="shared" si="21"/>
        <v>28307306.201550387</v>
      </c>
      <c r="AG28" s="12">
        <f t="shared" si="2"/>
        <v>99655046.201550394</v>
      </c>
      <c r="AL28">
        <f t="shared" si="22"/>
        <v>22</v>
      </c>
      <c r="AM28" s="12">
        <f>IF(MOD(B28-1,Electric!$E$21)=0,Electric!E54*1000000,0)</f>
        <v>0</v>
      </c>
      <c r="AN28" s="12">
        <f>IF(MOD(B28-1,Electric!$E$22)=0,Electric!E55*1000000,0)</f>
        <v>0</v>
      </c>
      <c r="AO28" s="12">
        <f>IF(MOD(B28-1,Electric!$E$24)=0,Electric!$E$36*1000000,0)</f>
        <v>0</v>
      </c>
      <c r="AP28" s="12">
        <f t="shared" si="23"/>
        <v>18000000</v>
      </c>
      <c r="AQ28" s="12">
        <f t="shared" si="24"/>
        <v>21000000</v>
      </c>
      <c r="AR28" s="12">
        <f t="shared" si="25"/>
        <v>50000000</v>
      </c>
      <c r="AS28" s="12">
        <f t="shared" si="26"/>
        <v>10985040.000000002</v>
      </c>
      <c r="AT28" s="12">
        <f t="shared" si="27"/>
        <v>11563200</v>
      </c>
      <c r="AU28" s="12">
        <f t="shared" si="28"/>
        <v>5055600</v>
      </c>
      <c r="AV28" s="12">
        <f t="shared" si="29"/>
        <v>3080000</v>
      </c>
      <c r="AW28" s="12">
        <f t="shared" si="30"/>
        <v>28307306.201550387</v>
      </c>
      <c r="AX28" s="12">
        <f t="shared" si="3"/>
        <v>147991146.20155039</v>
      </c>
      <c r="BC28">
        <f t="shared" si="40"/>
        <v>22</v>
      </c>
      <c r="BD28" s="12">
        <f>IF(MOD(B28-1,BatteryElectric!$E$21)=0,BatteryElectric!$E$34*1000000,0)</f>
        <v>0</v>
      </c>
      <c r="BE28" s="12">
        <f>IF(MOD(B28-1,BatteryElectric!$E$21)=0,BatteryElectric!$E$35*1000000,0)</f>
        <v>0</v>
      </c>
      <c r="BF28" s="12">
        <f>IF(MOD(B28-1,BatteryElectric!$E$24)=0,BatteryElectric!$E$37*1000000,0)</f>
        <v>0</v>
      </c>
      <c r="BG28" s="12">
        <f t="shared" si="31"/>
        <v>26000000</v>
      </c>
      <c r="BH28" s="12">
        <f t="shared" si="32"/>
        <v>15000000</v>
      </c>
      <c r="BI28" s="12">
        <f t="shared" si="33"/>
        <v>12000000</v>
      </c>
      <c r="BJ28" s="12">
        <f t="shared" si="34"/>
        <v>13603764.705882354</v>
      </c>
      <c r="BK28" s="12">
        <f t="shared" si="35"/>
        <v>16188480</v>
      </c>
      <c r="BL28" s="12">
        <f t="shared" si="36"/>
        <v>2527800</v>
      </c>
      <c r="BM28" s="12">
        <f t="shared" si="37"/>
        <v>739200</v>
      </c>
      <c r="BN28" s="12">
        <f t="shared" si="38"/>
        <v>28307306.201550387</v>
      </c>
      <c r="BO28" s="12">
        <f t="shared" si="4"/>
        <v>114366550.90743273</v>
      </c>
    </row>
    <row r="29" spans="2:67" x14ac:dyDescent="0.25">
      <c r="B29">
        <f t="shared" si="41"/>
        <v>23</v>
      </c>
      <c r="C29" s="12">
        <f>IF(MOD(B29-1,HydrogenFC!$F$34)=0,HydrogenFC!$H$26*1000000*HydrogenFC!$F$42,0)</f>
        <v>0</v>
      </c>
      <c r="D29" s="12">
        <f>IF(MOD(B29-1,ROUND(HydrogenFC!$F$29/24/365,0))=0,HydrogenFC!$F$45,0)</f>
        <v>0</v>
      </c>
      <c r="E29" s="12">
        <f>IF(MOD(B29-1,HydrogenFC!$F$30)=0,HydrogenFC!$F$46,0)</f>
        <v>0</v>
      </c>
      <c r="F29" s="14">
        <f>IF(MOD(B29-1,HydrogenFC!$F$31)=0,HydrogenFC!$F$47,0)</f>
        <v>0</v>
      </c>
      <c r="G29" s="12">
        <f>IF(MOD(B29-1,HydrogenFC!$F$33)=0,HydrogenFC!$F$48+HydrogenFC!$F$49,0)</f>
        <v>0</v>
      </c>
      <c r="H29" s="12">
        <f>IF(MOD(B29-1,HydrogenFC!$F$34)=0,HydrogenFC!$F$51,0)</f>
        <v>0</v>
      </c>
      <c r="I29" s="12">
        <f t="shared" si="5"/>
        <v>30000000</v>
      </c>
      <c r="J29" s="12">
        <f t="shared" si="6"/>
        <v>38684100.000000007</v>
      </c>
      <c r="K29" s="12">
        <f t="shared" si="7"/>
        <v>1071252.0000000002</v>
      </c>
      <c r="L29" s="12">
        <f t="shared" si="8"/>
        <v>2.16</v>
      </c>
      <c r="M29" s="12">
        <f t="shared" si="9"/>
        <v>1651513.5</v>
      </c>
      <c r="N29" s="12">
        <f t="shared" si="10"/>
        <v>1175240.7750000001</v>
      </c>
      <c r="O29" s="12">
        <f t="shared" si="39"/>
        <v>75875760.255339473</v>
      </c>
      <c r="P29" s="12">
        <f t="shared" si="11"/>
        <v>309588.12360000005</v>
      </c>
      <c r="Q29" s="12">
        <f t="shared" si="12"/>
        <v>21759840</v>
      </c>
      <c r="R29" s="12">
        <f t="shared" si="13"/>
        <v>4140000</v>
      </c>
      <c r="S29" s="12">
        <f t="shared" si="14"/>
        <v>29594001.937984496</v>
      </c>
      <c r="T29" s="12">
        <f t="shared" si="1"/>
        <v>204261298.75192398</v>
      </c>
      <c r="X29">
        <f t="shared" si="15"/>
        <v>23</v>
      </c>
      <c r="Y29" s="12">
        <f>IF(MOD(B29-1,Diesel!$E$27)=0,Diesel!$E$32*1000000,0)</f>
        <v>0</v>
      </c>
      <c r="Z29" s="12">
        <f>IF(MOD(B29-1,Diesel!$E$30)=0,Diesel!$E$35,0)</f>
        <v>0</v>
      </c>
      <c r="AA29" s="12">
        <f t="shared" si="16"/>
        <v>18000000</v>
      </c>
      <c r="AB29" s="12">
        <f t="shared" si="17"/>
        <v>6000000</v>
      </c>
      <c r="AC29" s="12">
        <f t="shared" si="18"/>
        <v>25386480</v>
      </c>
      <c r="AD29" s="12">
        <f t="shared" si="19"/>
        <v>23875380</v>
      </c>
      <c r="AE29" s="12">
        <f t="shared" si="20"/>
        <v>238050</v>
      </c>
      <c r="AF29" s="12">
        <f t="shared" si="21"/>
        <v>29594001.937984496</v>
      </c>
      <c r="AG29" s="12">
        <f t="shared" si="2"/>
        <v>103093911.9379845</v>
      </c>
      <c r="AL29">
        <f t="shared" si="22"/>
        <v>23</v>
      </c>
      <c r="AM29" s="12">
        <f>IF(MOD(B29-1,Electric!$E$21)=0,Electric!E55*1000000,0)</f>
        <v>0</v>
      </c>
      <c r="AN29" s="12">
        <f>IF(MOD(B29-1,Electric!$E$22)=0,Electric!E56*1000000,0)</f>
        <v>0</v>
      </c>
      <c r="AO29" s="12">
        <f>IF(MOD(B29-1,Electric!$E$24)=0,Electric!$E$36*1000000,0)</f>
        <v>0</v>
      </c>
      <c r="AP29" s="12">
        <f t="shared" si="23"/>
        <v>18000000</v>
      </c>
      <c r="AQ29" s="12">
        <f t="shared" si="24"/>
        <v>21000000</v>
      </c>
      <c r="AR29" s="12">
        <f t="shared" si="25"/>
        <v>50000000</v>
      </c>
      <c r="AS29" s="12">
        <f t="shared" si="26"/>
        <v>11484360.000000002</v>
      </c>
      <c r="AT29" s="12">
        <f t="shared" si="27"/>
        <v>12088800</v>
      </c>
      <c r="AU29" s="12">
        <f t="shared" si="28"/>
        <v>5285400</v>
      </c>
      <c r="AV29" s="12">
        <f t="shared" si="29"/>
        <v>3220000</v>
      </c>
      <c r="AW29" s="12">
        <f t="shared" si="30"/>
        <v>29594001.937984496</v>
      </c>
      <c r="AX29" s="12">
        <f t="shared" si="3"/>
        <v>150672561.9379845</v>
      </c>
      <c r="BC29">
        <f t="shared" si="40"/>
        <v>23</v>
      </c>
      <c r="BD29" s="12">
        <f>IF(MOD(B29-1,BatteryElectric!$E$21)=0,BatteryElectric!$E$34*1000000,0)</f>
        <v>0</v>
      </c>
      <c r="BE29" s="12">
        <f>IF(MOD(B29-1,BatteryElectric!$E$21)=0,BatteryElectric!$E$35*1000000,0)</f>
        <v>0</v>
      </c>
      <c r="BF29" s="12">
        <f>IF(MOD(B29-1,BatteryElectric!$E$24)=0,BatteryElectric!$E$37*1000000,0)</f>
        <v>0</v>
      </c>
      <c r="BG29" s="12">
        <f t="shared" si="31"/>
        <v>26000000</v>
      </c>
      <c r="BH29" s="12">
        <f t="shared" si="32"/>
        <v>15000000</v>
      </c>
      <c r="BI29" s="12">
        <f t="shared" si="33"/>
        <v>12000000</v>
      </c>
      <c r="BJ29" s="12">
        <f t="shared" si="34"/>
        <v>14222117.647058824</v>
      </c>
      <c r="BK29" s="12">
        <f t="shared" si="35"/>
        <v>16924320</v>
      </c>
      <c r="BL29" s="12">
        <f t="shared" si="36"/>
        <v>2642700</v>
      </c>
      <c r="BM29" s="12">
        <f t="shared" si="37"/>
        <v>772800</v>
      </c>
      <c r="BN29" s="12">
        <f t="shared" si="38"/>
        <v>29594001.937984496</v>
      </c>
      <c r="BO29" s="12">
        <f t="shared" si="4"/>
        <v>117155939.58504333</v>
      </c>
    </row>
    <row r="30" spans="2:67" x14ac:dyDescent="0.25">
      <c r="B30">
        <f t="shared" si="41"/>
        <v>24</v>
      </c>
      <c r="C30" s="12">
        <f>IF(MOD(B30-1,HydrogenFC!$F$34)=0,HydrogenFC!$H$26*1000000*HydrogenFC!$F$42,0)</f>
        <v>0</v>
      </c>
      <c r="D30" s="12">
        <f>IF(MOD(B30-1,ROUND(HydrogenFC!$F$29/24/365,0))=0,HydrogenFC!$F$45,0)</f>
        <v>0</v>
      </c>
      <c r="E30" s="12">
        <f>IF(MOD(B30-1,HydrogenFC!$F$30)=0,HydrogenFC!$F$46,0)</f>
        <v>0</v>
      </c>
      <c r="F30" s="14">
        <f>IF(MOD(B30-1,HydrogenFC!$F$31)=0,HydrogenFC!$F$47,0)</f>
        <v>0</v>
      </c>
      <c r="G30" s="12">
        <f>IF(MOD(B30-1,HydrogenFC!$F$33)=0,HydrogenFC!$F$48+HydrogenFC!$F$49,0)</f>
        <v>0</v>
      </c>
      <c r="H30" s="12">
        <f>IF(MOD(B30-1,HydrogenFC!$F$34)=0,HydrogenFC!$F$51,0)</f>
        <v>0</v>
      </c>
      <c r="I30" s="12">
        <f t="shared" si="5"/>
        <v>30000000</v>
      </c>
      <c r="J30" s="12">
        <f t="shared" si="6"/>
        <v>38684100.000000007</v>
      </c>
      <c r="K30" s="12">
        <f t="shared" si="7"/>
        <v>1071252.0000000002</v>
      </c>
      <c r="L30" s="12">
        <f t="shared" si="8"/>
        <v>2.16</v>
      </c>
      <c r="M30" s="12">
        <f t="shared" si="9"/>
        <v>1651513.5</v>
      </c>
      <c r="N30" s="12">
        <f t="shared" si="10"/>
        <v>1175240.7750000001</v>
      </c>
      <c r="O30" s="12">
        <f t="shared" si="39"/>
        <v>79174706.353397697</v>
      </c>
      <c r="P30" s="12">
        <f t="shared" si="11"/>
        <v>323048.47680000006</v>
      </c>
      <c r="Q30" s="12">
        <f t="shared" si="12"/>
        <v>22705920</v>
      </c>
      <c r="R30" s="12">
        <f t="shared" si="13"/>
        <v>4320000</v>
      </c>
      <c r="S30" s="12">
        <f t="shared" si="14"/>
        <v>30880697.674418606</v>
      </c>
      <c r="T30" s="12">
        <f t="shared" si="1"/>
        <v>209986480.93961629</v>
      </c>
      <c r="X30">
        <f t="shared" si="15"/>
        <v>24</v>
      </c>
      <c r="Y30" s="12">
        <f>IF(MOD(B30-1,Diesel!$E$27)=0,Diesel!$E$32*1000000,0)</f>
        <v>0</v>
      </c>
      <c r="Z30" s="12">
        <f>IF(MOD(B30-1,Diesel!$E$30)=0,Diesel!$E$35,0)</f>
        <v>0</v>
      </c>
      <c r="AA30" s="12">
        <f t="shared" si="16"/>
        <v>18000000</v>
      </c>
      <c r="AB30" s="12">
        <f t="shared" si="17"/>
        <v>6000000</v>
      </c>
      <c r="AC30" s="12">
        <f t="shared" si="18"/>
        <v>26490240</v>
      </c>
      <c r="AD30" s="12">
        <f t="shared" si="19"/>
        <v>24913440</v>
      </c>
      <c r="AE30" s="12">
        <f t="shared" si="20"/>
        <v>248400</v>
      </c>
      <c r="AF30" s="12">
        <f t="shared" si="21"/>
        <v>30880697.674418606</v>
      </c>
      <c r="AG30" s="12">
        <f t="shared" si="2"/>
        <v>106532777.6744186</v>
      </c>
      <c r="AL30">
        <f t="shared" si="22"/>
        <v>24</v>
      </c>
      <c r="AM30" s="12">
        <f>IF(MOD(B30-1,Electric!$E$21)=0,Electric!E56*1000000,0)</f>
        <v>0</v>
      </c>
      <c r="AN30" s="12">
        <f>IF(MOD(B30-1,Electric!$E$22)=0,Electric!E57*1000000,0)</f>
        <v>0</v>
      </c>
      <c r="AO30" s="12">
        <f>IF(MOD(B30-1,Electric!$E$24)=0,Electric!$E$36*1000000,0)</f>
        <v>0</v>
      </c>
      <c r="AP30" s="12">
        <f t="shared" si="23"/>
        <v>18000000</v>
      </c>
      <c r="AQ30" s="12">
        <f t="shared" si="24"/>
        <v>21000000</v>
      </c>
      <c r="AR30" s="12">
        <f t="shared" si="25"/>
        <v>50000000</v>
      </c>
      <c r="AS30" s="12">
        <f t="shared" si="26"/>
        <v>11983680.000000002</v>
      </c>
      <c r="AT30" s="12">
        <f t="shared" si="27"/>
        <v>12614400</v>
      </c>
      <c r="AU30" s="12">
        <f t="shared" si="28"/>
        <v>5515200</v>
      </c>
      <c r="AV30" s="12">
        <f t="shared" si="29"/>
        <v>3360000</v>
      </c>
      <c r="AW30" s="12">
        <f t="shared" si="30"/>
        <v>30880697.674418606</v>
      </c>
      <c r="AX30" s="12">
        <f t="shared" si="3"/>
        <v>153353977.6744186</v>
      </c>
      <c r="BC30">
        <f t="shared" si="40"/>
        <v>24</v>
      </c>
      <c r="BD30" s="12">
        <f>IF(MOD(B30-1,BatteryElectric!$E$21)=0,BatteryElectric!$E$34*1000000,0)</f>
        <v>0</v>
      </c>
      <c r="BE30" s="12">
        <f>IF(MOD(B30-1,BatteryElectric!$E$21)=0,BatteryElectric!$E$35*1000000,0)</f>
        <v>0</v>
      </c>
      <c r="BF30" s="12">
        <f>IF(MOD(B30-1,BatteryElectric!$E$24)=0,BatteryElectric!$E$37*1000000,0)</f>
        <v>0</v>
      </c>
      <c r="BG30" s="12">
        <f t="shared" si="31"/>
        <v>26000000</v>
      </c>
      <c r="BH30" s="12">
        <f t="shared" si="32"/>
        <v>15000000</v>
      </c>
      <c r="BI30" s="12">
        <f t="shared" si="33"/>
        <v>12000000</v>
      </c>
      <c r="BJ30" s="12">
        <f t="shared" si="34"/>
        <v>14840470.588235294</v>
      </c>
      <c r="BK30" s="12">
        <f t="shared" si="35"/>
        <v>17660160</v>
      </c>
      <c r="BL30" s="12">
        <f t="shared" si="36"/>
        <v>2757600</v>
      </c>
      <c r="BM30" s="12">
        <f t="shared" si="37"/>
        <v>806400</v>
      </c>
      <c r="BN30" s="12">
        <f t="shared" si="38"/>
        <v>30880697.674418606</v>
      </c>
      <c r="BO30" s="12">
        <f t="shared" si="4"/>
        <v>119945328.26265389</v>
      </c>
    </row>
    <row r="31" spans="2:67" x14ac:dyDescent="0.25">
      <c r="B31">
        <f t="shared" si="41"/>
        <v>25</v>
      </c>
      <c r="C31" s="12">
        <f>IF(MOD(B31-1,HydrogenFC!$F$34)=0,HydrogenFC!$H$26*1000000*HydrogenFC!$F$42,0)</f>
        <v>0</v>
      </c>
      <c r="D31" s="12">
        <f>IF(MOD(B31-1,ROUND(HydrogenFC!$F$29/24/365,0))=0,HydrogenFC!$F$45,0)</f>
        <v>9671025.0000000019</v>
      </c>
      <c r="E31" s="12">
        <f>IF(MOD(B31-1,HydrogenFC!$F$30)=0,HydrogenFC!$F$46,0)</f>
        <v>0</v>
      </c>
      <c r="F31" s="14">
        <f>IF(MOD(B31-1,HydrogenFC!$F$31)=0,HydrogenFC!$F$47,0)</f>
        <v>0</v>
      </c>
      <c r="G31" s="12">
        <f>IF(MOD(B31-1,HydrogenFC!$F$33)=0,HydrogenFC!$F$48+HydrogenFC!$F$49,0)</f>
        <v>0</v>
      </c>
      <c r="H31" s="12">
        <f>IF(MOD(B31-1,HydrogenFC!$F$34)=0,HydrogenFC!$F$51,0)</f>
        <v>0</v>
      </c>
      <c r="I31" s="12">
        <f t="shared" si="5"/>
        <v>30000000</v>
      </c>
      <c r="J31" s="12">
        <f t="shared" si="6"/>
        <v>48355125.000000007</v>
      </c>
      <c r="K31" s="12">
        <f t="shared" si="7"/>
        <v>1071252.0000000002</v>
      </c>
      <c r="L31" s="12">
        <f t="shared" si="8"/>
        <v>2.16</v>
      </c>
      <c r="M31" s="12">
        <f t="shared" si="9"/>
        <v>1651513.5</v>
      </c>
      <c r="N31" s="12">
        <f t="shared" si="10"/>
        <v>1175240.7750000001</v>
      </c>
      <c r="O31" s="12">
        <f t="shared" si="39"/>
        <v>82473652.451455936</v>
      </c>
      <c r="P31" s="12">
        <f t="shared" si="11"/>
        <v>336508.83000000007</v>
      </c>
      <c r="Q31" s="12">
        <f t="shared" si="12"/>
        <v>23652000</v>
      </c>
      <c r="R31" s="12">
        <f t="shared" si="13"/>
        <v>4500000</v>
      </c>
      <c r="S31" s="12">
        <f t="shared" si="14"/>
        <v>32167393.410852715</v>
      </c>
      <c r="T31" s="12">
        <f t="shared" si="1"/>
        <v>225382688.12730867</v>
      </c>
      <c r="X31">
        <f t="shared" si="15"/>
        <v>25</v>
      </c>
      <c r="Y31" s="12">
        <f>IF(MOD(B31-1,Diesel!$E$27)=0,Diesel!$E$32*1000000,0)</f>
        <v>0</v>
      </c>
      <c r="Z31" s="12">
        <f>IF(MOD(B31-1,Diesel!$E$30)=0,Diesel!$E$35,0)</f>
        <v>0</v>
      </c>
      <c r="AA31" s="12">
        <f t="shared" si="16"/>
        <v>18000000</v>
      </c>
      <c r="AB31" s="12">
        <f t="shared" si="17"/>
        <v>6000000</v>
      </c>
      <c r="AC31" s="12">
        <f t="shared" si="18"/>
        <v>27594000</v>
      </c>
      <c r="AD31" s="12">
        <f t="shared" si="19"/>
        <v>25951500</v>
      </c>
      <c r="AE31" s="12">
        <f t="shared" si="20"/>
        <v>258750</v>
      </c>
      <c r="AF31" s="12">
        <f t="shared" si="21"/>
        <v>32167393.410852715</v>
      </c>
      <c r="AG31" s="12">
        <f t="shared" si="2"/>
        <v>109971643.41085272</v>
      </c>
      <c r="AL31">
        <f t="shared" si="22"/>
        <v>25</v>
      </c>
      <c r="AM31" s="12">
        <f>IF(MOD(B31-1,Electric!$E$21)=0,Electric!E57*1000000,0)</f>
        <v>0</v>
      </c>
      <c r="AN31" s="12">
        <f>IF(MOD(B31-1,Electric!$E$22)=0,Electric!E58*1000000,0)</f>
        <v>0</v>
      </c>
      <c r="AO31" s="12">
        <f>IF(MOD(B31-1,Electric!$E$24)=0,Electric!$E$36*1000000,0)</f>
        <v>0</v>
      </c>
      <c r="AP31" s="12">
        <f t="shared" si="23"/>
        <v>18000000</v>
      </c>
      <c r="AQ31" s="12">
        <f t="shared" si="24"/>
        <v>21000000</v>
      </c>
      <c r="AR31" s="12">
        <f t="shared" si="25"/>
        <v>50000000</v>
      </c>
      <c r="AS31" s="12">
        <f t="shared" si="26"/>
        <v>12483000.000000002</v>
      </c>
      <c r="AT31" s="12">
        <f t="shared" si="27"/>
        <v>13140000</v>
      </c>
      <c r="AU31" s="12">
        <f t="shared" si="28"/>
        <v>5745000</v>
      </c>
      <c r="AV31" s="12">
        <f t="shared" si="29"/>
        <v>3500000</v>
      </c>
      <c r="AW31" s="12">
        <f t="shared" si="30"/>
        <v>32167393.410852715</v>
      </c>
      <c r="AX31" s="12">
        <f t="shared" si="3"/>
        <v>156035393.41085273</v>
      </c>
      <c r="BC31">
        <f t="shared" si="40"/>
        <v>25</v>
      </c>
      <c r="BD31" s="12">
        <f>IF(MOD(B31-1,BatteryElectric!$E$21)=0,BatteryElectric!$E$34*1000000,0)</f>
        <v>0</v>
      </c>
      <c r="BE31" s="12">
        <f>IF(MOD(B31-1,BatteryElectric!$E$21)=0,BatteryElectric!$E$35*1000000,0)</f>
        <v>0</v>
      </c>
      <c r="BF31" s="12">
        <f>IF(MOD(B31-1,BatteryElectric!$E$24)=0,BatteryElectric!$E$37*1000000,0)</f>
        <v>0</v>
      </c>
      <c r="BG31" s="12">
        <f t="shared" si="31"/>
        <v>26000000</v>
      </c>
      <c r="BH31" s="12">
        <f t="shared" si="32"/>
        <v>15000000</v>
      </c>
      <c r="BI31" s="12">
        <f t="shared" si="33"/>
        <v>12000000</v>
      </c>
      <c r="BJ31" s="12">
        <f t="shared" si="34"/>
        <v>15458823.529411765</v>
      </c>
      <c r="BK31" s="12">
        <f t="shared" si="35"/>
        <v>18396000</v>
      </c>
      <c r="BL31" s="12">
        <f t="shared" si="36"/>
        <v>2872500</v>
      </c>
      <c r="BM31" s="12">
        <f t="shared" si="37"/>
        <v>840000</v>
      </c>
      <c r="BN31" s="12">
        <f t="shared" si="38"/>
        <v>32167393.410852715</v>
      </c>
      <c r="BO31" s="12">
        <f t="shared" si="4"/>
        <v>122734716.94026448</v>
      </c>
    </row>
    <row r="32" spans="2:67" x14ac:dyDescent="0.25">
      <c r="B32">
        <f t="shared" si="41"/>
        <v>26</v>
      </c>
      <c r="C32" s="12">
        <f>IF(MOD(B32-1,HydrogenFC!$F$34)=0,HydrogenFC!$H$26*1000000*HydrogenFC!$F$42,0)</f>
        <v>0</v>
      </c>
      <c r="D32" s="12">
        <f>IF(MOD(B32-1,ROUND(HydrogenFC!$F$29/24/365,0))=0,HydrogenFC!$F$45,0)</f>
        <v>0</v>
      </c>
      <c r="E32" s="12">
        <f>IF(MOD(B32-1,HydrogenFC!$F$30)=0,HydrogenFC!$F$46,0)</f>
        <v>0</v>
      </c>
      <c r="F32" s="14">
        <f>IF(MOD(B32-1,HydrogenFC!$F$31)=0,HydrogenFC!$F$47,0)</f>
        <v>0</v>
      </c>
      <c r="G32" s="12">
        <f>IF(MOD(B32-1,HydrogenFC!$F$33)=0,HydrogenFC!$F$48+HydrogenFC!$F$49,0)</f>
        <v>0</v>
      </c>
      <c r="H32" s="12">
        <f>IF(MOD(B32-1,HydrogenFC!$F$34)=0,HydrogenFC!$F$51,0)</f>
        <v>0</v>
      </c>
      <c r="I32" s="12">
        <f t="shared" si="5"/>
        <v>30000000</v>
      </c>
      <c r="J32" s="12">
        <f t="shared" si="6"/>
        <v>48355125.000000007</v>
      </c>
      <c r="K32" s="12">
        <f t="shared" si="7"/>
        <v>1071252.0000000002</v>
      </c>
      <c r="L32" s="12">
        <f t="shared" si="8"/>
        <v>2.16</v>
      </c>
      <c r="M32" s="12">
        <f t="shared" si="9"/>
        <v>1651513.5</v>
      </c>
      <c r="N32" s="12">
        <f t="shared" si="10"/>
        <v>1175240.7750000001</v>
      </c>
      <c r="O32" s="12">
        <f t="shared" si="39"/>
        <v>85772598.549514174</v>
      </c>
      <c r="P32" s="12">
        <f t="shared" si="11"/>
        <v>349969.18320000009</v>
      </c>
      <c r="Q32" s="12">
        <f t="shared" si="12"/>
        <v>24598080</v>
      </c>
      <c r="R32" s="12">
        <f t="shared" si="13"/>
        <v>4680000</v>
      </c>
      <c r="S32" s="12">
        <f t="shared" si="14"/>
        <v>33454089.147286825</v>
      </c>
      <c r="T32" s="12">
        <f t="shared" si="1"/>
        <v>231107870.31500101</v>
      </c>
      <c r="X32">
        <f t="shared" si="15"/>
        <v>26</v>
      </c>
      <c r="Y32" s="12">
        <f>IF(MOD(B32-1,Diesel!$E$27)=0,Diesel!$E$32*1000000,0)</f>
        <v>0</v>
      </c>
      <c r="Z32" s="12">
        <f>IF(MOD(B32-1,Diesel!$E$30)=0,Diesel!$E$35,0)</f>
        <v>0</v>
      </c>
      <c r="AA32" s="12">
        <f t="shared" si="16"/>
        <v>18000000</v>
      </c>
      <c r="AB32" s="12">
        <f t="shared" si="17"/>
        <v>6000000</v>
      </c>
      <c r="AC32" s="12">
        <f t="shared" si="18"/>
        <v>28697760</v>
      </c>
      <c r="AD32" s="12">
        <f t="shared" si="19"/>
        <v>26989560</v>
      </c>
      <c r="AE32" s="12">
        <f t="shared" si="20"/>
        <v>269100</v>
      </c>
      <c r="AF32" s="12">
        <f t="shared" si="21"/>
        <v>33454089.147286825</v>
      </c>
      <c r="AG32" s="12">
        <f t="shared" si="2"/>
        <v>113410509.14728683</v>
      </c>
      <c r="AL32">
        <f t="shared" si="22"/>
        <v>26</v>
      </c>
      <c r="AM32" s="12">
        <f>IF(MOD(B32-1,Electric!$E$21)=0,Electric!E58*1000000,0)</f>
        <v>0</v>
      </c>
      <c r="AN32" s="12">
        <f>IF(MOD(B32-1,Electric!$E$22)=0,Electric!E59*1000000,0)</f>
        <v>0</v>
      </c>
      <c r="AO32" s="12">
        <f>IF(MOD(B32-1,Electric!$E$24)=0,Electric!$E$36*1000000,0)</f>
        <v>0</v>
      </c>
      <c r="AP32" s="12">
        <f t="shared" si="23"/>
        <v>18000000</v>
      </c>
      <c r="AQ32" s="12">
        <f t="shared" si="24"/>
        <v>21000000</v>
      </c>
      <c r="AR32" s="12">
        <f t="shared" si="25"/>
        <v>50000000</v>
      </c>
      <c r="AS32" s="12">
        <f t="shared" si="26"/>
        <v>12982320.000000002</v>
      </c>
      <c r="AT32" s="12">
        <f t="shared" si="27"/>
        <v>13665600</v>
      </c>
      <c r="AU32" s="12">
        <f t="shared" si="28"/>
        <v>5974800</v>
      </c>
      <c r="AV32" s="12">
        <f t="shared" si="29"/>
        <v>3640000</v>
      </c>
      <c r="AW32" s="12">
        <f t="shared" si="30"/>
        <v>33454089.147286825</v>
      </c>
      <c r="AX32" s="12">
        <f t="shared" si="3"/>
        <v>158716809.14728683</v>
      </c>
      <c r="BC32">
        <f t="shared" si="40"/>
        <v>26</v>
      </c>
      <c r="BD32" s="12">
        <f>IF(MOD(B32-1,BatteryElectric!$E$21)=0,BatteryElectric!$E$34*1000000,0)</f>
        <v>0</v>
      </c>
      <c r="BE32" s="12">
        <f>IF(MOD(B32-1,BatteryElectric!$E$21)=0,BatteryElectric!$E$35*1000000,0)</f>
        <v>0</v>
      </c>
      <c r="BF32" s="12">
        <f>IF(MOD(B32-1,BatteryElectric!$E$24)=0,BatteryElectric!$E$37*1000000,0)</f>
        <v>0</v>
      </c>
      <c r="BG32" s="12">
        <f t="shared" si="31"/>
        <v>26000000</v>
      </c>
      <c r="BH32" s="12">
        <f t="shared" si="32"/>
        <v>15000000</v>
      </c>
      <c r="BI32" s="12">
        <f t="shared" si="33"/>
        <v>12000000</v>
      </c>
      <c r="BJ32" s="12">
        <f t="shared" si="34"/>
        <v>16077176.470588235</v>
      </c>
      <c r="BK32" s="12">
        <f t="shared" si="35"/>
        <v>19131840</v>
      </c>
      <c r="BL32" s="12">
        <f t="shared" si="36"/>
        <v>2987400</v>
      </c>
      <c r="BM32" s="12">
        <f t="shared" si="37"/>
        <v>873600</v>
      </c>
      <c r="BN32" s="12">
        <f t="shared" si="38"/>
        <v>33454089.147286825</v>
      </c>
      <c r="BO32" s="12">
        <f t="shared" si="4"/>
        <v>125524105.61787507</v>
      </c>
    </row>
    <row r="33" spans="2:67" x14ac:dyDescent="0.25">
      <c r="B33">
        <f t="shared" si="41"/>
        <v>27</v>
      </c>
      <c r="C33" s="12">
        <f>IF(MOD(B33-1,HydrogenFC!$F$34)=0,HydrogenFC!$H$26*1000000*HydrogenFC!$F$42,0)</f>
        <v>0</v>
      </c>
      <c r="D33" s="12">
        <f>IF(MOD(B33-1,ROUND(HydrogenFC!$F$29/24/365,0))=0,HydrogenFC!$F$45,0)</f>
        <v>0</v>
      </c>
      <c r="E33" s="12">
        <f>IF(MOD(B33-1,HydrogenFC!$F$30)=0,HydrogenFC!$F$46,0)</f>
        <v>0</v>
      </c>
      <c r="F33" s="14">
        <f>IF(MOD(B33-1,HydrogenFC!$F$31)=0,HydrogenFC!$F$47,0)</f>
        <v>0</v>
      </c>
      <c r="G33" s="12">
        <f>IF(MOD(B33-1,HydrogenFC!$F$33)=0,HydrogenFC!$F$48+HydrogenFC!$F$49,0)</f>
        <v>0</v>
      </c>
      <c r="H33" s="12">
        <f>IF(MOD(B33-1,HydrogenFC!$F$34)=0,HydrogenFC!$F$51,0)</f>
        <v>0</v>
      </c>
      <c r="I33" s="12">
        <f t="shared" si="5"/>
        <v>30000000</v>
      </c>
      <c r="J33" s="12">
        <f t="shared" si="6"/>
        <v>48355125.000000007</v>
      </c>
      <c r="K33" s="12">
        <f t="shared" si="7"/>
        <v>1071252.0000000002</v>
      </c>
      <c r="L33" s="12">
        <f t="shared" si="8"/>
        <v>2.16</v>
      </c>
      <c r="M33" s="12">
        <f t="shared" si="9"/>
        <v>1651513.5</v>
      </c>
      <c r="N33" s="12">
        <f t="shared" si="10"/>
        <v>1175240.7750000001</v>
      </c>
      <c r="O33" s="12">
        <f t="shared" si="39"/>
        <v>89071544.647572413</v>
      </c>
      <c r="P33" s="12">
        <f t="shared" si="11"/>
        <v>363429.5364000001</v>
      </c>
      <c r="Q33" s="12">
        <f t="shared" si="12"/>
        <v>25544160</v>
      </c>
      <c r="R33" s="12">
        <f t="shared" si="13"/>
        <v>4860000</v>
      </c>
      <c r="S33" s="12">
        <f t="shared" si="14"/>
        <v>34740784.883720934</v>
      </c>
      <c r="T33" s="12">
        <f t="shared" si="1"/>
        <v>236833052.50269333</v>
      </c>
      <c r="X33">
        <f t="shared" si="15"/>
        <v>27</v>
      </c>
      <c r="Y33" s="12">
        <f>IF(MOD(B33-1,Diesel!$E$27)=0,Diesel!$E$32*1000000,0)</f>
        <v>0</v>
      </c>
      <c r="Z33" s="12">
        <f>IF(MOD(B33-1,Diesel!$E$30)=0,Diesel!$E$35,0)</f>
        <v>0</v>
      </c>
      <c r="AA33" s="12">
        <f t="shared" si="16"/>
        <v>18000000</v>
      </c>
      <c r="AB33" s="12">
        <f t="shared" si="17"/>
        <v>6000000</v>
      </c>
      <c r="AC33" s="12">
        <f t="shared" si="18"/>
        <v>29801520</v>
      </c>
      <c r="AD33" s="12">
        <f t="shared" si="19"/>
        <v>28027620</v>
      </c>
      <c r="AE33" s="12">
        <f t="shared" si="20"/>
        <v>279450</v>
      </c>
      <c r="AF33" s="12">
        <f t="shared" si="21"/>
        <v>34740784.883720934</v>
      </c>
      <c r="AG33" s="12">
        <f t="shared" si="2"/>
        <v>116849374.88372093</v>
      </c>
      <c r="AL33">
        <f t="shared" si="22"/>
        <v>27</v>
      </c>
      <c r="AM33" s="12">
        <f>IF(MOD(B33-1,Electric!$E$21)=0,Electric!E59*1000000,0)</f>
        <v>0</v>
      </c>
      <c r="AN33" s="12">
        <f>IF(MOD(B33-1,Electric!$E$22)=0,Electric!E60*1000000,0)</f>
        <v>0</v>
      </c>
      <c r="AO33" s="12">
        <f>IF(MOD(B33-1,Electric!$E$24)=0,Electric!$E$36*1000000,0)</f>
        <v>0</v>
      </c>
      <c r="AP33" s="12">
        <f t="shared" si="23"/>
        <v>18000000</v>
      </c>
      <c r="AQ33" s="12">
        <f t="shared" si="24"/>
        <v>21000000</v>
      </c>
      <c r="AR33" s="12">
        <f t="shared" si="25"/>
        <v>50000000</v>
      </c>
      <c r="AS33" s="12">
        <f t="shared" si="26"/>
        <v>13481640.000000002</v>
      </c>
      <c r="AT33" s="12">
        <f t="shared" si="27"/>
        <v>14191200</v>
      </c>
      <c r="AU33" s="12">
        <f t="shared" si="28"/>
        <v>6204600</v>
      </c>
      <c r="AV33" s="12">
        <f t="shared" si="29"/>
        <v>3780000</v>
      </c>
      <c r="AW33" s="12">
        <f t="shared" si="30"/>
        <v>34740784.883720934</v>
      </c>
      <c r="AX33" s="12">
        <f t="shared" si="3"/>
        <v>161398224.88372093</v>
      </c>
      <c r="BC33">
        <f t="shared" si="40"/>
        <v>27</v>
      </c>
      <c r="BD33" s="12">
        <f>IF(MOD(B33-1,BatteryElectric!$E$21)=0,BatteryElectric!$E$34*1000000,0)</f>
        <v>0</v>
      </c>
      <c r="BE33" s="12">
        <f>IF(MOD(B33-1,BatteryElectric!$E$21)=0,BatteryElectric!$E$35*1000000,0)</f>
        <v>0</v>
      </c>
      <c r="BF33" s="12">
        <f>IF(MOD(B33-1,BatteryElectric!$E$24)=0,BatteryElectric!$E$37*1000000,0)</f>
        <v>0</v>
      </c>
      <c r="BG33" s="12">
        <f t="shared" si="31"/>
        <v>26000000</v>
      </c>
      <c r="BH33" s="12">
        <f t="shared" si="32"/>
        <v>15000000</v>
      </c>
      <c r="BI33" s="12">
        <f t="shared" si="33"/>
        <v>12000000</v>
      </c>
      <c r="BJ33" s="12">
        <f t="shared" si="34"/>
        <v>16695529.411764706</v>
      </c>
      <c r="BK33" s="12">
        <f t="shared" si="35"/>
        <v>19867680</v>
      </c>
      <c r="BL33" s="12">
        <f t="shared" si="36"/>
        <v>3102300</v>
      </c>
      <c r="BM33" s="12">
        <f t="shared" si="37"/>
        <v>907200</v>
      </c>
      <c r="BN33" s="12">
        <f t="shared" si="38"/>
        <v>34740784.883720934</v>
      </c>
      <c r="BO33" s="12">
        <f t="shared" si="4"/>
        <v>128313494.29548565</v>
      </c>
    </row>
    <row r="34" spans="2:67" x14ac:dyDescent="0.25">
      <c r="B34">
        <f t="shared" si="41"/>
        <v>28</v>
      </c>
      <c r="C34" s="12">
        <f>IF(MOD(B34-1,HydrogenFC!$F$34)=0,HydrogenFC!$H$26*1000000*HydrogenFC!$F$42,0)</f>
        <v>0</v>
      </c>
      <c r="D34" s="12">
        <f>IF(MOD(B34-1,ROUND(HydrogenFC!$F$29/24/365,0))=0,HydrogenFC!$F$45,0)</f>
        <v>0</v>
      </c>
      <c r="E34" s="12">
        <f>IF(MOD(B34-1,HydrogenFC!$F$30)=0,HydrogenFC!$F$46,0)</f>
        <v>0</v>
      </c>
      <c r="F34" s="14">
        <f>IF(MOD(B34-1,HydrogenFC!$F$31)=0,HydrogenFC!$F$47,0)</f>
        <v>0</v>
      </c>
      <c r="G34" s="12">
        <f>IF(MOD(B34-1,HydrogenFC!$F$33)=0,HydrogenFC!$F$48+HydrogenFC!$F$49,0)</f>
        <v>0</v>
      </c>
      <c r="H34" s="12">
        <f>IF(MOD(B34-1,HydrogenFC!$F$34)=0,HydrogenFC!$F$51,0)</f>
        <v>0</v>
      </c>
      <c r="I34" s="12">
        <f t="shared" si="5"/>
        <v>30000000</v>
      </c>
      <c r="J34" s="12">
        <f t="shared" si="6"/>
        <v>48355125.000000007</v>
      </c>
      <c r="K34" s="12">
        <f t="shared" si="7"/>
        <v>1071252.0000000002</v>
      </c>
      <c r="L34" s="12">
        <f t="shared" si="8"/>
        <v>2.16</v>
      </c>
      <c r="M34" s="12">
        <f t="shared" si="9"/>
        <v>1651513.5</v>
      </c>
      <c r="N34" s="12">
        <f t="shared" si="10"/>
        <v>1175240.7750000001</v>
      </c>
      <c r="O34" s="12">
        <f t="shared" si="39"/>
        <v>92370490.745630652</v>
      </c>
      <c r="P34" s="12">
        <f t="shared" si="11"/>
        <v>376889.88960000011</v>
      </c>
      <c r="Q34" s="12">
        <f t="shared" si="12"/>
        <v>26490240</v>
      </c>
      <c r="R34" s="12">
        <f t="shared" si="13"/>
        <v>5040000</v>
      </c>
      <c r="S34" s="12">
        <f t="shared" si="14"/>
        <v>36027480.620155036</v>
      </c>
      <c r="T34" s="12">
        <f t="shared" si="1"/>
        <v>242558234.6903857</v>
      </c>
      <c r="X34">
        <f t="shared" si="15"/>
        <v>28</v>
      </c>
      <c r="Y34" s="12">
        <f>IF(MOD(B34-1,Diesel!$E$27)=0,Diesel!$E$32*1000000,0)</f>
        <v>0</v>
      </c>
      <c r="Z34" s="12">
        <f>IF(MOD(B34-1,Diesel!$E$30)=0,Diesel!$E$35,0)</f>
        <v>0</v>
      </c>
      <c r="AA34" s="12">
        <f t="shared" si="16"/>
        <v>18000000</v>
      </c>
      <c r="AB34" s="12">
        <f t="shared" si="17"/>
        <v>6000000</v>
      </c>
      <c r="AC34" s="12">
        <f t="shared" si="18"/>
        <v>30905280</v>
      </c>
      <c r="AD34" s="12">
        <f t="shared" si="19"/>
        <v>29065680</v>
      </c>
      <c r="AE34" s="12">
        <f t="shared" si="20"/>
        <v>289800</v>
      </c>
      <c r="AF34" s="12">
        <f t="shared" si="21"/>
        <v>36027480.620155036</v>
      </c>
      <c r="AG34" s="12">
        <f t="shared" si="2"/>
        <v>120288240.62015504</v>
      </c>
      <c r="AL34">
        <f t="shared" si="22"/>
        <v>28</v>
      </c>
      <c r="AM34" s="12">
        <f>IF(MOD(B34-1,Electric!$E$21)=0,Electric!E60*1000000,0)</f>
        <v>0</v>
      </c>
      <c r="AN34" s="12">
        <f>IF(MOD(B34-1,Electric!$E$22)=0,Electric!E61*1000000,0)</f>
        <v>0</v>
      </c>
      <c r="AO34" s="12">
        <f>IF(MOD(B34-1,Electric!$E$24)=0,Electric!$E$36*1000000,0)</f>
        <v>0</v>
      </c>
      <c r="AP34" s="12">
        <f t="shared" si="23"/>
        <v>18000000</v>
      </c>
      <c r="AQ34" s="12">
        <f t="shared" si="24"/>
        <v>21000000</v>
      </c>
      <c r="AR34" s="12">
        <f t="shared" si="25"/>
        <v>50000000</v>
      </c>
      <c r="AS34" s="12">
        <f t="shared" si="26"/>
        <v>13980960.000000002</v>
      </c>
      <c r="AT34" s="12">
        <f t="shared" si="27"/>
        <v>14716800</v>
      </c>
      <c r="AU34" s="12">
        <f t="shared" si="28"/>
        <v>6434400</v>
      </c>
      <c r="AV34" s="12">
        <f t="shared" si="29"/>
        <v>3920000</v>
      </c>
      <c r="AW34" s="12">
        <f t="shared" si="30"/>
        <v>36027480.620155036</v>
      </c>
      <c r="AX34" s="12">
        <f t="shared" si="3"/>
        <v>164079640.62015504</v>
      </c>
      <c r="BC34">
        <f t="shared" si="40"/>
        <v>28</v>
      </c>
      <c r="BD34" s="12">
        <f>IF(MOD(B34-1,BatteryElectric!$E$21)=0,BatteryElectric!$E$34*1000000,0)</f>
        <v>0</v>
      </c>
      <c r="BE34" s="12">
        <f>IF(MOD(B34-1,BatteryElectric!$E$21)=0,BatteryElectric!$E$35*1000000,0)</f>
        <v>0</v>
      </c>
      <c r="BF34" s="12">
        <f>IF(MOD(B34-1,BatteryElectric!$E$24)=0,BatteryElectric!$E$37*1000000,0)</f>
        <v>0</v>
      </c>
      <c r="BG34" s="12">
        <f t="shared" si="31"/>
        <v>26000000</v>
      </c>
      <c r="BH34" s="12">
        <f t="shared" si="32"/>
        <v>15000000</v>
      </c>
      <c r="BI34" s="12">
        <f t="shared" si="33"/>
        <v>12000000</v>
      </c>
      <c r="BJ34" s="12">
        <f t="shared" si="34"/>
        <v>17313882.352941178</v>
      </c>
      <c r="BK34" s="12">
        <f t="shared" si="35"/>
        <v>20603520</v>
      </c>
      <c r="BL34" s="12">
        <f t="shared" si="36"/>
        <v>3217200</v>
      </c>
      <c r="BM34" s="12">
        <f t="shared" si="37"/>
        <v>940800</v>
      </c>
      <c r="BN34" s="12">
        <f t="shared" si="38"/>
        <v>36027480.620155036</v>
      </c>
      <c r="BO34" s="12">
        <f t="shared" si="4"/>
        <v>131102882.97309622</v>
      </c>
    </row>
    <row r="35" spans="2:67" x14ac:dyDescent="0.25">
      <c r="B35">
        <f t="shared" si="41"/>
        <v>29</v>
      </c>
      <c r="C35" s="12">
        <f>IF(MOD(B35-1,HydrogenFC!$F$34)=0,HydrogenFC!$H$26*1000000*HydrogenFC!$F$42,0)</f>
        <v>0</v>
      </c>
      <c r="D35" s="12">
        <f>IF(MOD(B35-1,ROUND(HydrogenFC!$F$29/24/365,0))=0,HydrogenFC!$F$45,0)</f>
        <v>0</v>
      </c>
      <c r="E35" s="12">
        <f>IF(MOD(B35-1,HydrogenFC!$F$30)=0,HydrogenFC!$F$46,0)</f>
        <v>0</v>
      </c>
      <c r="F35" s="14">
        <f>IF(MOD(B35-1,HydrogenFC!$F$31)=0,HydrogenFC!$F$47,0)</f>
        <v>0</v>
      </c>
      <c r="G35" s="12">
        <f>IF(MOD(B35-1,HydrogenFC!$F$33)=0,HydrogenFC!$F$48+HydrogenFC!$F$49,0)</f>
        <v>0</v>
      </c>
      <c r="H35" s="12">
        <f>IF(MOD(B35-1,HydrogenFC!$F$34)=0,HydrogenFC!$F$51,0)</f>
        <v>0</v>
      </c>
      <c r="I35" s="12">
        <f t="shared" si="5"/>
        <v>30000000</v>
      </c>
      <c r="J35" s="12">
        <f t="shared" si="6"/>
        <v>48355125.000000007</v>
      </c>
      <c r="K35" s="12">
        <f t="shared" si="7"/>
        <v>1071252.0000000002</v>
      </c>
      <c r="L35" s="12">
        <f t="shared" si="8"/>
        <v>2.16</v>
      </c>
      <c r="M35" s="12">
        <f t="shared" si="9"/>
        <v>1651513.5</v>
      </c>
      <c r="N35" s="12">
        <f t="shared" si="10"/>
        <v>1175240.7750000001</v>
      </c>
      <c r="O35" s="12">
        <f t="shared" si="39"/>
        <v>95669436.84368889</v>
      </c>
      <c r="P35" s="12">
        <f t="shared" si="11"/>
        <v>390350.24280000007</v>
      </c>
      <c r="Q35" s="12">
        <f t="shared" si="12"/>
        <v>27436320</v>
      </c>
      <c r="R35" s="12">
        <f t="shared" si="13"/>
        <v>5220000</v>
      </c>
      <c r="S35" s="12">
        <f t="shared" si="14"/>
        <v>37314176.356589146</v>
      </c>
      <c r="T35" s="12">
        <f t="shared" si="1"/>
        <v>248283416.87807804</v>
      </c>
      <c r="X35">
        <f t="shared" si="15"/>
        <v>29</v>
      </c>
      <c r="Y35" s="12">
        <f>IF(MOD(B35-1,Diesel!$E$27)=0,Diesel!$E$32*1000000,0)</f>
        <v>0</v>
      </c>
      <c r="Z35" s="12">
        <f>IF(MOD(B35-1,Diesel!$E$30)=0,Diesel!$E$35,0)</f>
        <v>0</v>
      </c>
      <c r="AA35" s="12">
        <f t="shared" si="16"/>
        <v>18000000</v>
      </c>
      <c r="AB35" s="12">
        <f t="shared" si="17"/>
        <v>6000000</v>
      </c>
      <c r="AC35" s="12">
        <f t="shared" si="18"/>
        <v>32009040</v>
      </c>
      <c r="AD35" s="12">
        <f t="shared" si="19"/>
        <v>30103740</v>
      </c>
      <c r="AE35" s="12">
        <f t="shared" si="20"/>
        <v>300150</v>
      </c>
      <c r="AF35" s="12">
        <f t="shared" si="21"/>
        <v>37314176.356589146</v>
      </c>
      <c r="AG35" s="12">
        <f t="shared" si="2"/>
        <v>123727106.35658914</v>
      </c>
      <c r="AL35">
        <f t="shared" si="22"/>
        <v>29</v>
      </c>
      <c r="AM35" s="12">
        <f>IF(MOD(B35-1,Electric!$E$21)=0,Electric!E61*1000000,0)</f>
        <v>0</v>
      </c>
      <c r="AN35" s="12">
        <f>IF(MOD(B35-1,Electric!$E$22)=0,Electric!E62*1000000,0)</f>
        <v>0</v>
      </c>
      <c r="AO35" s="12">
        <f>IF(MOD(B35-1,Electric!$E$24)=0,Electric!$E$36*1000000,0)</f>
        <v>0</v>
      </c>
      <c r="AP35" s="12">
        <f t="shared" si="23"/>
        <v>18000000</v>
      </c>
      <c r="AQ35" s="12">
        <f t="shared" si="24"/>
        <v>21000000</v>
      </c>
      <c r="AR35" s="12">
        <f t="shared" si="25"/>
        <v>50000000</v>
      </c>
      <c r="AS35" s="12">
        <f t="shared" si="26"/>
        <v>14480280.000000002</v>
      </c>
      <c r="AT35" s="12">
        <f t="shared" si="27"/>
        <v>15242400</v>
      </c>
      <c r="AU35" s="12">
        <f t="shared" si="28"/>
        <v>6664200</v>
      </c>
      <c r="AV35" s="12">
        <f t="shared" si="29"/>
        <v>4060000</v>
      </c>
      <c r="AW35" s="12">
        <f t="shared" si="30"/>
        <v>37314176.356589146</v>
      </c>
      <c r="AX35" s="12">
        <f t="shared" si="3"/>
        <v>166761056.35658914</v>
      </c>
      <c r="BC35">
        <f t="shared" si="40"/>
        <v>29</v>
      </c>
      <c r="BD35" s="12">
        <f>IF(MOD(B35-1,BatteryElectric!$E$21)=0,BatteryElectric!$E$34*1000000,0)</f>
        <v>0</v>
      </c>
      <c r="BE35" s="12">
        <f>IF(MOD(B35-1,BatteryElectric!$E$21)=0,BatteryElectric!$E$35*1000000,0)</f>
        <v>0</v>
      </c>
      <c r="BF35" s="12">
        <f>IF(MOD(B35-1,BatteryElectric!$E$24)=0,BatteryElectric!$E$37*1000000,0)</f>
        <v>0</v>
      </c>
      <c r="BG35" s="12">
        <f t="shared" si="31"/>
        <v>26000000</v>
      </c>
      <c r="BH35" s="12">
        <f t="shared" si="32"/>
        <v>15000000</v>
      </c>
      <c r="BI35" s="12">
        <f t="shared" si="33"/>
        <v>12000000</v>
      </c>
      <c r="BJ35" s="12">
        <f t="shared" si="34"/>
        <v>17932235.294117648</v>
      </c>
      <c r="BK35" s="12">
        <f t="shared" si="35"/>
        <v>21339360</v>
      </c>
      <c r="BL35" s="12">
        <f t="shared" si="36"/>
        <v>3332100</v>
      </c>
      <c r="BM35" s="12">
        <f t="shared" si="37"/>
        <v>974400</v>
      </c>
      <c r="BN35" s="12">
        <f t="shared" si="38"/>
        <v>37314176.356589146</v>
      </c>
      <c r="BO35" s="12">
        <f t="shared" si="4"/>
        <v>133892271.6507068</v>
      </c>
    </row>
    <row r="36" spans="2:67" x14ac:dyDescent="0.25">
      <c r="B36">
        <f>B35+1</f>
        <v>30</v>
      </c>
      <c r="C36" s="12">
        <f>IF(MOD(B36-1,HydrogenFC!$F$34)=0,HydrogenFC!$H$26*1000000*HydrogenFC!$F$42,0)</f>
        <v>0</v>
      </c>
      <c r="D36" s="12">
        <f>IF(MOD(B36-1,ROUND(HydrogenFC!$F$29/24/365,0))=0,HydrogenFC!$F$45,0)</f>
        <v>0</v>
      </c>
      <c r="E36" s="12">
        <f>IF(MOD(B36-1,HydrogenFC!$F$30)=0,HydrogenFC!$F$46,0)</f>
        <v>0</v>
      </c>
      <c r="F36" s="14">
        <f>IF(MOD(B36-1,HydrogenFC!$F$31)=0,HydrogenFC!$F$47,0)</f>
        <v>0</v>
      </c>
      <c r="G36" s="12">
        <f>IF(MOD(B36-1,HydrogenFC!$F$33)=0,HydrogenFC!$F$48+HydrogenFC!$F$49,0)</f>
        <v>0</v>
      </c>
      <c r="H36" s="12">
        <f>IF(MOD(B36-1,HydrogenFC!$F$34)=0,HydrogenFC!$F$51,0)</f>
        <v>0</v>
      </c>
      <c r="I36" s="12">
        <f t="shared" si="5"/>
        <v>30000000</v>
      </c>
      <c r="J36" s="12">
        <f t="shared" si="6"/>
        <v>48355125.000000007</v>
      </c>
      <c r="K36" s="12">
        <f t="shared" si="7"/>
        <v>1071252.0000000002</v>
      </c>
      <c r="L36" s="12">
        <f t="shared" si="8"/>
        <v>2.16</v>
      </c>
      <c r="M36" s="12">
        <f t="shared" si="9"/>
        <v>1651513.5</v>
      </c>
      <c r="N36" s="12">
        <f t="shared" si="10"/>
        <v>1175240.7750000001</v>
      </c>
      <c r="O36" s="12">
        <f t="shared" si="39"/>
        <v>98968382.941747129</v>
      </c>
      <c r="P36" s="12">
        <f t="shared" si="11"/>
        <v>403810.59600000008</v>
      </c>
      <c r="Q36" s="12">
        <f t="shared" si="12"/>
        <v>28382400</v>
      </c>
      <c r="R36" s="12">
        <f t="shared" si="13"/>
        <v>5400000</v>
      </c>
      <c r="S36" s="12">
        <f t="shared" si="14"/>
        <v>38600872.093023255</v>
      </c>
      <c r="T36" s="12">
        <f t="shared" si="1"/>
        <v>254008599.06577039</v>
      </c>
      <c r="X36">
        <f t="shared" si="15"/>
        <v>30</v>
      </c>
      <c r="Y36" s="12">
        <f>IF(MOD(B36-1,Diesel!$E$27)=0,Diesel!$E$32*1000000,0)</f>
        <v>0</v>
      </c>
      <c r="Z36" s="12">
        <f>IF(MOD(B36-1,Diesel!$E$30)=0,Diesel!$E$35,0)</f>
        <v>0</v>
      </c>
      <c r="AA36" s="12">
        <f t="shared" si="16"/>
        <v>18000000</v>
      </c>
      <c r="AB36" s="12">
        <f t="shared" si="17"/>
        <v>6000000</v>
      </c>
      <c r="AC36" s="12">
        <f t="shared" si="18"/>
        <v>33112800</v>
      </c>
      <c r="AD36" s="12">
        <f t="shared" si="19"/>
        <v>31141800</v>
      </c>
      <c r="AE36" s="12">
        <f t="shared" si="20"/>
        <v>310500</v>
      </c>
      <c r="AF36" s="12">
        <f t="shared" si="21"/>
        <v>38600872.093023255</v>
      </c>
      <c r="AG36" s="12">
        <f t="shared" si="2"/>
        <v>127165972.09302326</v>
      </c>
      <c r="AL36">
        <f t="shared" si="22"/>
        <v>30</v>
      </c>
      <c r="AM36" s="12">
        <f>IF(MOD(B36-1,Electric!$E$21)=0,Electric!E62*1000000,0)</f>
        <v>0</v>
      </c>
      <c r="AN36" s="12">
        <f>IF(MOD(B36-1,Electric!$E$22)=0,Electric!E63*1000000,0)</f>
        <v>0</v>
      </c>
      <c r="AO36" s="12">
        <f>IF(MOD(B36-1,Electric!$E$24)=0,Electric!$E$36*1000000,0)</f>
        <v>0</v>
      </c>
      <c r="AP36" s="12">
        <f t="shared" si="23"/>
        <v>18000000</v>
      </c>
      <c r="AQ36" s="12">
        <f t="shared" si="24"/>
        <v>21000000</v>
      </c>
      <c r="AR36" s="12">
        <f t="shared" si="25"/>
        <v>50000000</v>
      </c>
      <c r="AS36" s="12">
        <f t="shared" si="26"/>
        <v>14979600.000000002</v>
      </c>
      <c r="AT36" s="12">
        <f t="shared" si="27"/>
        <v>15768000</v>
      </c>
      <c r="AU36" s="12">
        <f t="shared" si="28"/>
        <v>6894000</v>
      </c>
      <c r="AV36" s="12">
        <f t="shared" si="29"/>
        <v>4200000</v>
      </c>
      <c r="AW36" s="12">
        <f t="shared" si="30"/>
        <v>38600872.093023255</v>
      </c>
      <c r="AX36" s="12">
        <f t="shared" si="3"/>
        <v>169442472.09302324</v>
      </c>
      <c r="BC36">
        <f t="shared" si="40"/>
        <v>30</v>
      </c>
      <c r="BD36" s="12">
        <f>IF(MOD(B36-1,BatteryElectric!$E$21)=0,BatteryElectric!$E$34*1000000,0)</f>
        <v>0</v>
      </c>
      <c r="BE36" s="12">
        <f>IF(MOD(B36-1,BatteryElectric!$E$21)=0,BatteryElectric!$E$35*1000000,0)</f>
        <v>0</v>
      </c>
      <c r="BF36" s="12">
        <f>IF(MOD(B36-1,BatteryElectric!$E$24)=0,BatteryElectric!$E$37*1000000,0)</f>
        <v>0</v>
      </c>
      <c r="BG36" s="12">
        <f t="shared" si="31"/>
        <v>26000000</v>
      </c>
      <c r="BH36" s="12">
        <f t="shared" si="32"/>
        <v>15000000</v>
      </c>
      <c r="BI36" s="12">
        <f t="shared" si="33"/>
        <v>12000000</v>
      </c>
      <c r="BJ36" s="12">
        <f t="shared" si="34"/>
        <v>18550588.235294119</v>
      </c>
      <c r="BK36" s="12">
        <f t="shared" si="35"/>
        <v>22075200</v>
      </c>
      <c r="BL36" s="12">
        <f t="shared" si="36"/>
        <v>3447000</v>
      </c>
      <c r="BM36" s="12">
        <f t="shared" si="37"/>
        <v>1008000</v>
      </c>
      <c r="BN36" s="12">
        <f t="shared" si="38"/>
        <v>38600872.093023255</v>
      </c>
      <c r="BO36" s="12">
        <f t="shared" si="4"/>
        <v>136681660.32831737</v>
      </c>
    </row>
  </sheetData>
  <mergeCells count="15">
    <mergeCell ref="BD5:BF5"/>
    <mergeCell ref="BJ5:BN5"/>
    <mergeCell ref="BC4:BO4"/>
    <mergeCell ref="I5:N5"/>
    <mergeCell ref="B4:T4"/>
    <mergeCell ref="X4:AG4"/>
    <mergeCell ref="AA5:AB5"/>
    <mergeCell ref="AP5:AR5"/>
    <mergeCell ref="C5:H5"/>
    <mergeCell ref="O5:S5"/>
    <mergeCell ref="Y5:Z5"/>
    <mergeCell ref="AC5:AF5"/>
    <mergeCell ref="AL4:AX4"/>
    <mergeCell ref="AM5:AO5"/>
    <mergeCell ref="AS5:AW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77"/>
  <sheetViews>
    <sheetView tabSelected="1" topLeftCell="A73" workbookViewId="0">
      <selection activeCell="R87" sqref="R87"/>
    </sheetView>
  </sheetViews>
  <sheetFormatPr baseColWidth="10" defaultColWidth="9.140625" defaultRowHeight="15" x14ac:dyDescent="0.25"/>
  <sheetData>
    <row r="1" spans="1:16" x14ac:dyDescent="0.25">
      <c r="E1">
        <f>HydrogenFC!E78</f>
        <v>1.6359949767298982</v>
      </c>
      <c r="F1">
        <f>Diesel!E51</f>
        <v>0.79696836690146666</v>
      </c>
      <c r="G1">
        <f>Electric!E57</f>
        <v>0.88275286715514489</v>
      </c>
      <c r="H1">
        <f>BatteryElectric!E58</f>
        <v>0.82523884023539684</v>
      </c>
      <c r="I1" s="16">
        <f>HydrogenFC!L69</f>
        <v>5876.2477371662362</v>
      </c>
      <c r="J1" s="16">
        <f>Diesel!K44</f>
        <v>35244.129023999994</v>
      </c>
      <c r="K1" s="16">
        <f>Electric!N46</f>
        <v>10813.398750000002</v>
      </c>
      <c r="L1" s="16">
        <f>BatteryElectric!N47</f>
        <v>13391.205882352941</v>
      </c>
      <c r="M1">
        <f>HydrogenFC!F89</f>
        <v>1.6658085116723957</v>
      </c>
      <c r="N1">
        <f>Diesel!F62</f>
        <v>0.97578180690146665</v>
      </c>
      <c r="O1">
        <f>Electric!E68</f>
        <v>0.93761536715514482</v>
      </c>
      <c r="P1">
        <f>BatteryElectric!E68</f>
        <v>0.89318001670598501</v>
      </c>
    </row>
    <row r="2" spans="1:16" ht="60" x14ac:dyDescent="0.25">
      <c r="A2" s="22" t="s">
        <v>372</v>
      </c>
      <c r="B2" t="s">
        <v>368</v>
      </c>
      <c r="E2" s="33" t="s">
        <v>277</v>
      </c>
      <c r="F2" s="33"/>
      <c r="G2" s="33"/>
      <c r="H2" s="33"/>
      <c r="I2" s="33" t="s">
        <v>163</v>
      </c>
      <c r="J2" s="33"/>
      <c r="K2" s="33"/>
      <c r="L2" s="33"/>
      <c r="M2" s="33" t="s">
        <v>365</v>
      </c>
      <c r="N2" s="33"/>
      <c r="O2" s="33"/>
      <c r="P2" s="33"/>
    </row>
    <row r="3" spans="1:16" x14ac:dyDescent="0.25">
      <c r="C3" t="s">
        <v>272</v>
      </c>
      <c r="E3" t="s">
        <v>273</v>
      </c>
      <c r="F3" t="s">
        <v>274</v>
      </c>
      <c r="G3" t="s">
        <v>275</v>
      </c>
      <c r="H3" t="s">
        <v>276</v>
      </c>
      <c r="I3" t="s">
        <v>273</v>
      </c>
      <c r="J3" t="s">
        <v>274</v>
      </c>
      <c r="K3" t="s">
        <v>275</v>
      </c>
      <c r="L3" t="s">
        <v>276</v>
      </c>
      <c r="M3" t="s">
        <v>273</v>
      </c>
      <c r="N3" t="s">
        <v>274</v>
      </c>
      <c r="O3" t="s">
        <v>275</v>
      </c>
      <c r="P3" t="s">
        <v>276</v>
      </c>
    </row>
    <row r="4" spans="1:16" x14ac:dyDescent="0.25">
      <c r="B4">
        <v>4</v>
      </c>
      <c r="C4">
        <v>30</v>
      </c>
      <c r="E4">
        <v>1.9114507822536047</v>
      </c>
      <c r="F4">
        <v>1.0234876169575118</v>
      </c>
      <c r="G4">
        <v>1.1244523239590338</v>
      </c>
      <c r="H4">
        <v>1.2065701245927323</v>
      </c>
      <c r="I4" s="16">
        <v>3525.7486422997395</v>
      </c>
      <c r="J4" s="16">
        <v>21146.4774144</v>
      </c>
      <c r="K4" s="16">
        <v>6488.0392500000007</v>
      </c>
      <c r="L4" s="16">
        <v>8034.7235294117645</v>
      </c>
      <c r="M4">
        <v>1.9442456706903517</v>
      </c>
      <c r="N4">
        <v>1.2201824009575117</v>
      </c>
      <c r="O4">
        <v>1.184801073959034</v>
      </c>
      <c r="P4">
        <v>1.2813054187103792</v>
      </c>
    </row>
    <row r="5" spans="1:16" x14ac:dyDescent="0.25">
      <c r="B5">
        <v>4</v>
      </c>
      <c r="C5">
        <v>40</v>
      </c>
      <c r="E5">
        <v>1.7147731941446291</v>
      </c>
      <c r="F5">
        <v>0.86597558567248367</v>
      </c>
      <c r="G5">
        <v>0.96967922595660339</v>
      </c>
      <c r="H5">
        <v>0.97702005212725429</v>
      </c>
      <c r="I5" s="16">
        <v>4700.9981897329881</v>
      </c>
      <c r="J5" s="16">
        <v>28195.303219199996</v>
      </c>
      <c r="K5" s="16">
        <v>8650.719000000001</v>
      </c>
      <c r="L5" s="16">
        <v>10712.964705882356</v>
      </c>
      <c r="M5">
        <v>1.7475680825813762</v>
      </c>
      <c r="N5">
        <v>1.0626703696724837</v>
      </c>
      <c r="O5">
        <v>1.0300279759566033</v>
      </c>
      <c r="P5">
        <v>1.0517553462449014</v>
      </c>
    </row>
    <row r="6" spans="1:16" x14ac:dyDescent="0.25">
      <c r="B6">
        <v>4</v>
      </c>
      <c r="C6">
        <v>50</v>
      </c>
      <c r="E6">
        <v>1.5967666412792441</v>
      </c>
      <c r="F6">
        <v>0.77146836690146658</v>
      </c>
      <c r="G6">
        <v>0.87681536715514485</v>
      </c>
      <c r="H6">
        <v>0.83929000864796732</v>
      </c>
      <c r="I6">
        <v>5876.2477371662362</v>
      </c>
      <c r="J6">
        <v>35244.129023999994</v>
      </c>
      <c r="K6">
        <v>10813.398750000002</v>
      </c>
      <c r="L6">
        <v>13391.205882352941</v>
      </c>
      <c r="M6">
        <v>1.6295615297159913</v>
      </c>
      <c r="N6">
        <v>0.96816315090146665</v>
      </c>
      <c r="O6">
        <v>0.93716411715514492</v>
      </c>
      <c r="P6">
        <v>0.91402530276561444</v>
      </c>
    </row>
    <row r="7" spans="1:16" x14ac:dyDescent="0.25">
      <c r="B7">
        <v>6</v>
      </c>
      <c r="C7">
        <v>60</v>
      </c>
      <c r="E7">
        <v>1.1470004125977036</v>
      </c>
      <c r="F7">
        <v>0.58058322714240196</v>
      </c>
      <c r="G7">
        <v>0.64361749485760578</v>
      </c>
      <c r="H7">
        <v>0.61275330354434787</v>
      </c>
      <c r="I7">
        <v>4700.9981897329862</v>
      </c>
      <c r="J7">
        <v>28195.303219199999</v>
      </c>
      <c r="K7">
        <v>8650.719000000001</v>
      </c>
      <c r="L7">
        <v>10712.964705882352</v>
      </c>
      <c r="M7">
        <v>1.1688636715555349</v>
      </c>
      <c r="N7">
        <v>0.71171308314240189</v>
      </c>
      <c r="O7">
        <v>0.68384999485760578</v>
      </c>
      <c r="P7">
        <v>0.66257683295611269</v>
      </c>
    </row>
    <row r="8" spans="1:16" x14ac:dyDescent="0.25">
      <c r="B8">
        <v>6</v>
      </c>
      <c r="C8">
        <v>70</v>
      </c>
      <c r="E8">
        <v>1.0916040907650164</v>
      </c>
      <c r="F8">
        <v>0.53565793161978248</v>
      </c>
      <c r="G8">
        <v>0.60034639348347263</v>
      </c>
      <c r="H8">
        <v>0.5532256488132048</v>
      </c>
      <c r="I8">
        <v>5484.4978880218196</v>
      </c>
      <c r="J8">
        <v>32894.520422399997</v>
      </c>
      <c r="K8">
        <v>10092.505500000001</v>
      </c>
      <c r="L8">
        <v>12498.458823529414</v>
      </c>
      <c r="M8">
        <v>1.113467349722848</v>
      </c>
      <c r="N8">
        <v>0.66678778761978241</v>
      </c>
      <c r="O8">
        <v>0.64057889348347252</v>
      </c>
      <c r="P8">
        <v>0.60304917822496951</v>
      </c>
    </row>
    <row r="9" spans="1:16" x14ac:dyDescent="0.25">
      <c r="B9">
        <v>6</v>
      </c>
      <c r="C9">
        <v>80</v>
      </c>
      <c r="E9">
        <v>1.0500568493905014</v>
      </c>
      <c r="F9">
        <v>0.50196395997781795</v>
      </c>
      <c r="G9">
        <v>0.56789306745287282</v>
      </c>
      <c r="H9">
        <v>0.53771063666726582</v>
      </c>
      <c r="I9">
        <v>6267.9975863106501</v>
      </c>
      <c r="J9">
        <v>37593.737625599992</v>
      </c>
      <c r="K9">
        <v>11534.292000000001</v>
      </c>
      <c r="L9">
        <v>14283.952941176474</v>
      </c>
      <c r="M9">
        <v>1.0719201083483327</v>
      </c>
      <c r="N9">
        <v>0.63309381597781778</v>
      </c>
      <c r="O9">
        <v>0.60812556745287283</v>
      </c>
      <c r="P9">
        <v>0.58753416607903064</v>
      </c>
    </row>
    <row r="10" spans="1:16" x14ac:dyDescent="0.25">
      <c r="B10">
        <v>8</v>
      </c>
      <c r="C10">
        <v>90</v>
      </c>
      <c r="E10">
        <v>0.82500333933119219</v>
      </c>
      <c r="F10">
        <v>0.41190853961904988</v>
      </c>
      <c r="G10">
        <v>0.45811535616733334</v>
      </c>
      <c r="H10">
        <v>0.43298535068340455</v>
      </c>
      <c r="I10">
        <v>5288.6229634496112</v>
      </c>
      <c r="J10">
        <v>31719.716121599999</v>
      </c>
      <c r="K10">
        <v>9732.0588750000006</v>
      </c>
      <c r="L10">
        <v>12052.085294117645</v>
      </c>
      <c r="M10">
        <v>0.84140078354956571</v>
      </c>
      <c r="N10">
        <v>0.51025593161904992</v>
      </c>
      <c r="O10">
        <v>0.48828973116733326</v>
      </c>
      <c r="P10">
        <v>0.47035299774222811</v>
      </c>
    </row>
    <row r="11" spans="1:16" x14ac:dyDescent="0.25">
      <c r="B11">
        <v>8</v>
      </c>
      <c r="C11">
        <v>100</v>
      </c>
      <c r="E11">
        <v>0.79973095467617517</v>
      </c>
      <c r="F11">
        <v>0.39096163483888474</v>
      </c>
      <c r="G11">
        <v>0.43814379173893553</v>
      </c>
      <c r="H11">
        <v>0.40467728194247504</v>
      </c>
      <c r="I11">
        <v>5876.2477371662362</v>
      </c>
      <c r="J11">
        <v>35244.129023999994</v>
      </c>
      <c r="K11">
        <v>10813.398750000002</v>
      </c>
      <c r="L11">
        <v>13391.205882352941</v>
      </c>
      <c r="M11">
        <v>0.8161283988945488</v>
      </c>
      <c r="N11">
        <v>0.48930902683888478</v>
      </c>
      <c r="O11">
        <v>0.46831816673893556</v>
      </c>
      <c r="P11">
        <v>0.4420449290012986</v>
      </c>
    </row>
    <row r="12" spans="1:16" x14ac:dyDescent="0.25">
      <c r="B12">
        <v>10</v>
      </c>
      <c r="C12">
        <v>110</v>
      </c>
      <c r="E12">
        <v>0.66404204532818367</v>
      </c>
      <c r="F12">
        <v>0.33553375010592273</v>
      </c>
      <c r="G12">
        <v>0.37132344269390299</v>
      </c>
      <c r="H12">
        <v>0.34370594723162518</v>
      </c>
      <c r="I12" s="16">
        <v>5171.0980087062853</v>
      </c>
      <c r="J12" s="16">
        <v>31014.833541120002</v>
      </c>
      <c r="K12" s="16">
        <v>9515.7909</v>
      </c>
      <c r="L12" s="16">
        <v>11784.261176470591</v>
      </c>
      <c r="M12">
        <v>0.67716000070288251</v>
      </c>
      <c r="N12">
        <v>0.41421166370592272</v>
      </c>
      <c r="O12">
        <v>0.39546294269390303</v>
      </c>
      <c r="P12">
        <v>0.37360006487868402</v>
      </c>
    </row>
    <row r="13" spans="1:16" x14ac:dyDescent="0.25">
      <c r="B13">
        <v>10</v>
      </c>
      <c r="C13">
        <v>120</v>
      </c>
      <c r="E13">
        <v>0.64704783259985965</v>
      </c>
      <c r="F13">
        <v>0.32125922858187905</v>
      </c>
      <c r="G13">
        <v>0.3577971281252581</v>
      </c>
      <c r="H13">
        <v>0.32524808737755367</v>
      </c>
      <c r="I13">
        <v>5641.1978276795835</v>
      </c>
      <c r="J13">
        <v>33834.363863040002</v>
      </c>
      <c r="K13">
        <v>10380.862800000001</v>
      </c>
      <c r="L13">
        <v>12855.557647058824</v>
      </c>
      <c r="M13">
        <v>0.66016578797455849</v>
      </c>
      <c r="N13">
        <v>0.39993714218187904</v>
      </c>
      <c r="O13">
        <v>0.38193662812525814</v>
      </c>
      <c r="P13">
        <v>0.35514220502461247</v>
      </c>
    </row>
    <row r="14" spans="1:16" x14ac:dyDescent="0.25">
      <c r="B14">
        <v>10</v>
      </c>
      <c r="C14">
        <v>130</v>
      </c>
      <c r="E14">
        <v>0.63266811413743163</v>
      </c>
      <c r="F14">
        <v>0.30918078729230369</v>
      </c>
      <c r="G14">
        <v>0.34635178502871239</v>
      </c>
      <c r="H14">
        <v>0.30962989827026244</v>
      </c>
      <c r="I14">
        <v>6111.2976466528817</v>
      </c>
      <c r="J14">
        <v>36653.894184959994</v>
      </c>
      <c r="K14">
        <v>11245.934700000002</v>
      </c>
      <c r="L14">
        <v>13926.854117647057</v>
      </c>
      <c r="M14">
        <v>0.64578606951213058</v>
      </c>
      <c r="N14">
        <v>0.38785870089230368</v>
      </c>
      <c r="O14">
        <v>0.37049128502871242</v>
      </c>
      <c r="P14">
        <v>0.33952401591732123</v>
      </c>
    </row>
    <row r="15" spans="1:16" x14ac:dyDescent="0.25">
      <c r="B15">
        <v>12</v>
      </c>
      <c r="C15">
        <v>140</v>
      </c>
      <c r="E15">
        <v>0.54407452014530644</v>
      </c>
      <c r="F15">
        <v>0.27331428575642497</v>
      </c>
      <c r="G15">
        <v>0.30304359134218034</v>
      </c>
      <c r="H15">
        <v>0.2724813949390123</v>
      </c>
      <c r="I15">
        <v>5484.4978880218196</v>
      </c>
      <c r="J15">
        <v>32894.520422399997</v>
      </c>
      <c r="K15">
        <v>10092.505500000001</v>
      </c>
      <c r="L15">
        <v>12498.458823529414</v>
      </c>
      <c r="M15">
        <v>0.55500614962422212</v>
      </c>
      <c r="N15">
        <v>0.33887921375642494</v>
      </c>
      <c r="O15">
        <v>0.32315984134218034</v>
      </c>
      <c r="P15">
        <v>0.2973931596448946</v>
      </c>
    </row>
    <row r="16" spans="1:16" x14ac:dyDescent="0.25">
      <c r="B16">
        <v>12</v>
      </c>
      <c r="C16">
        <v>150</v>
      </c>
      <c r="E16">
        <v>0.53349174052182902</v>
      </c>
      <c r="F16">
        <v>0.26434485504937877</v>
      </c>
      <c r="G16">
        <v>0.29457932782123736</v>
      </c>
      <c r="H16">
        <v>0.26900080339184784</v>
      </c>
      <c r="I16">
        <v>5876.2477371662344</v>
      </c>
      <c r="J16">
        <v>35244.129024000002</v>
      </c>
      <c r="K16">
        <v>10813.39875</v>
      </c>
      <c r="L16">
        <v>13391.205882352942</v>
      </c>
      <c r="M16">
        <v>0.54442337000074481</v>
      </c>
      <c r="N16">
        <v>0.32990978304937874</v>
      </c>
      <c r="O16">
        <v>0.31469557782123742</v>
      </c>
      <c r="P16">
        <v>0.29391256809773025</v>
      </c>
    </row>
    <row r="17" spans="1:16" x14ac:dyDescent="0.25">
      <c r="B17">
        <v>12</v>
      </c>
      <c r="C17">
        <v>160</v>
      </c>
      <c r="E17">
        <v>0.52423180835128635</v>
      </c>
      <c r="F17">
        <v>0.25649660318071332</v>
      </c>
      <c r="G17">
        <v>0.28717309724041229</v>
      </c>
      <c r="H17">
        <v>0.2586726035624744</v>
      </c>
      <c r="I17">
        <v>6267.9975863106501</v>
      </c>
      <c r="J17">
        <v>37593.737625599992</v>
      </c>
      <c r="K17">
        <v>11534.292000000001</v>
      </c>
      <c r="L17">
        <v>14283.952941176474</v>
      </c>
      <c r="M17">
        <v>0.53516343783020215</v>
      </c>
      <c r="N17">
        <v>0.32206153118071335</v>
      </c>
      <c r="O17">
        <v>0.30728934724041229</v>
      </c>
      <c r="P17">
        <v>0.2835843682683567</v>
      </c>
    </row>
    <row r="18" spans="1:16" x14ac:dyDescent="0.25">
      <c r="B18">
        <v>14</v>
      </c>
      <c r="C18">
        <v>170</v>
      </c>
      <c r="E18">
        <v>0.46177179699383014</v>
      </c>
      <c r="F18">
        <v>0.23135361934586585</v>
      </c>
      <c r="G18">
        <v>0.25678294914475647</v>
      </c>
      <c r="H18">
        <v>0.23227581257627827</v>
      </c>
      <c r="I18">
        <v>5708.3549446757697</v>
      </c>
      <c r="J18">
        <v>34237.153909028573</v>
      </c>
      <c r="K18">
        <v>10504.4445</v>
      </c>
      <c r="L18">
        <v>13008.6</v>
      </c>
      <c r="M18">
        <v>0.47114176511861505</v>
      </c>
      <c r="N18">
        <v>0.28755212906015154</v>
      </c>
      <c r="O18">
        <v>0.27402544914475652</v>
      </c>
      <c r="P18">
        <v>0.25362875375274879</v>
      </c>
    </row>
    <row r="19" spans="1:16" x14ac:dyDescent="0.25">
      <c r="B19">
        <v>14</v>
      </c>
      <c r="C19">
        <v>180</v>
      </c>
      <c r="E19">
        <v>0.45455778007017505</v>
      </c>
      <c r="F19">
        <v>0.22519965987999863</v>
      </c>
      <c r="G19">
        <v>0.25099276405723525</v>
      </c>
      <c r="H19">
        <v>0.22440284781845832</v>
      </c>
      <c r="I19">
        <v>6044.1405296566982</v>
      </c>
      <c r="J19">
        <v>36251.10413897143</v>
      </c>
      <c r="K19">
        <v>11122.353000000001</v>
      </c>
      <c r="L19">
        <v>13773.811764705881</v>
      </c>
      <c r="M19">
        <v>0.46392774819495997</v>
      </c>
      <c r="N19">
        <v>0.28139816959428432</v>
      </c>
      <c r="O19">
        <v>0.26823526405723525</v>
      </c>
      <c r="P19">
        <v>0.24575578899492889</v>
      </c>
    </row>
    <row r="20" spans="1:16" x14ac:dyDescent="0.25">
      <c r="B20">
        <v>14</v>
      </c>
      <c r="C20">
        <v>190</v>
      </c>
      <c r="E20">
        <v>0.44810313334901003</v>
      </c>
      <c r="F20">
        <v>0.2196934856210648</v>
      </c>
      <c r="G20">
        <v>0.24581207213682146</v>
      </c>
      <c r="H20">
        <v>0.21735861619304045</v>
      </c>
      <c r="I20">
        <v>6379.9261146376266</v>
      </c>
      <c r="J20">
        <v>38265.05436891428</v>
      </c>
      <c r="K20">
        <v>11740.261500000002</v>
      </c>
      <c r="L20">
        <v>14539.023529411768</v>
      </c>
      <c r="M20">
        <v>0.45747310147379494</v>
      </c>
      <c r="N20">
        <v>0.27589199533535053</v>
      </c>
      <c r="O20">
        <v>0.26305457213682143</v>
      </c>
      <c r="P20">
        <v>0.23871155736951105</v>
      </c>
    </row>
    <row r="21" spans="1:16" x14ac:dyDescent="0.25">
      <c r="B21">
        <v>16</v>
      </c>
      <c r="C21">
        <v>200</v>
      </c>
      <c r="E21">
        <v>0.4016754058951888</v>
      </c>
      <c r="F21">
        <v>0.20107748969800479</v>
      </c>
      <c r="G21">
        <v>0.22329573234133304</v>
      </c>
      <c r="H21">
        <v>0.19851691047202216</v>
      </c>
      <c r="I21">
        <v>5876.2477371662362</v>
      </c>
      <c r="J21">
        <v>35244.129023999994</v>
      </c>
      <c r="K21">
        <v>10813.398750000002</v>
      </c>
      <c r="L21">
        <v>13391.205882352941</v>
      </c>
      <c r="M21">
        <v>0.40987412800437562</v>
      </c>
      <c r="N21">
        <v>0.25025118569800475</v>
      </c>
      <c r="O21">
        <v>0.23838291984133306</v>
      </c>
      <c r="P21">
        <v>0.21720073400143391</v>
      </c>
    </row>
    <row r="25" spans="1:16" ht="60" x14ac:dyDescent="0.25">
      <c r="A25" s="22" t="s">
        <v>373</v>
      </c>
      <c r="B25" t="s">
        <v>368</v>
      </c>
      <c r="E25" s="33" t="s">
        <v>277</v>
      </c>
      <c r="F25" s="33"/>
      <c r="G25" s="33"/>
      <c r="H25" s="33"/>
      <c r="I25" s="33" t="s">
        <v>163</v>
      </c>
      <c r="J25" s="33"/>
      <c r="K25" s="33"/>
      <c r="L25" s="33"/>
      <c r="M25" s="33" t="s">
        <v>365</v>
      </c>
      <c r="N25" s="33"/>
      <c r="O25" s="33"/>
      <c r="P25" s="33"/>
    </row>
    <row r="26" spans="1:16" x14ac:dyDescent="0.25">
      <c r="C26" t="s">
        <v>272</v>
      </c>
      <c r="E26" t="s">
        <v>273</v>
      </c>
      <c r="F26" t="s">
        <v>274</v>
      </c>
      <c r="G26" t="s">
        <v>275</v>
      </c>
      <c r="H26" t="s">
        <v>276</v>
      </c>
      <c r="I26" t="s">
        <v>273</v>
      </c>
      <c r="J26" t="s">
        <v>274</v>
      </c>
      <c r="K26" t="s">
        <v>275</v>
      </c>
      <c r="L26" t="s">
        <v>276</v>
      </c>
      <c r="M26" t="s">
        <v>273</v>
      </c>
      <c r="N26" t="s">
        <v>274</v>
      </c>
      <c r="O26" t="s">
        <v>275</v>
      </c>
      <c r="P26" t="s">
        <v>276</v>
      </c>
    </row>
    <row r="27" spans="1:16" x14ac:dyDescent="0.25">
      <c r="B27">
        <v>2</v>
      </c>
      <c r="C27">
        <v>30</v>
      </c>
      <c r="E27">
        <v>3.9842409861206036</v>
      </c>
      <c r="F27">
        <v>2.0535391608556628</v>
      </c>
      <c r="G27">
        <v>2.9384023648130446</v>
      </c>
      <c r="H27">
        <v>2.9752914414736429</v>
      </c>
      <c r="I27" s="16">
        <v>3525.7486422997395</v>
      </c>
      <c r="J27" s="16">
        <v>21146.4774144</v>
      </c>
      <c r="K27" s="16">
        <v>6488.0392500000007</v>
      </c>
      <c r="L27" s="16">
        <v>8034.7235294117645</v>
      </c>
      <c r="M27">
        <v>4.0498307629940973</v>
      </c>
      <c r="N27">
        <v>2.4469287288556627</v>
      </c>
      <c r="O27">
        <v>3.0590998648130445</v>
      </c>
      <c r="P27">
        <v>3.1247620297089376</v>
      </c>
    </row>
    <row r="28" spans="1:16" x14ac:dyDescent="0.25">
      <c r="B28">
        <v>2</v>
      </c>
      <c r="C28">
        <v>40</v>
      </c>
      <c r="E28">
        <v>3.5505509544993044</v>
      </c>
      <c r="F28">
        <v>1.7368741165504469</v>
      </c>
      <c r="G28">
        <v>2.6089107096503961</v>
      </c>
      <c r="H28">
        <v>2.3889716111038237</v>
      </c>
      <c r="I28" s="16">
        <v>4700.9981897329881</v>
      </c>
      <c r="J28" s="16">
        <v>28195.303219199996</v>
      </c>
      <c r="K28" s="16">
        <v>8650.719000000001</v>
      </c>
      <c r="L28" s="16">
        <v>10712.964705882356</v>
      </c>
      <c r="M28">
        <v>3.616140731372798</v>
      </c>
      <c r="N28">
        <v>2.1302636845504468</v>
      </c>
      <c r="O28">
        <v>2.729608209650396</v>
      </c>
      <c r="P28">
        <v>2.5384421993391175</v>
      </c>
    </row>
    <row r="29" spans="1:16" x14ac:dyDescent="0.25">
      <c r="B29">
        <v>2</v>
      </c>
      <c r="C29">
        <v>50</v>
      </c>
      <c r="E29">
        <v>3.2903369355265246</v>
      </c>
      <c r="F29">
        <v>1.5468750899673167</v>
      </c>
      <c r="G29">
        <v>2.4112157165528063</v>
      </c>
      <c r="H29">
        <v>2.0371797128819318</v>
      </c>
      <c r="I29">
        <v>5876.2477371662362</v>
      </c>
      <c r="J29">
        <v>35244.129023999994</v>
      </c>
      <c r="K29">
        <v>10813.398750000002</v>
      </c>
      <c r="L29">
        <v>13391.205882352941</v>
      </c>
      <c r="M29">
        <v>3.3559267124000192</v>
      </c>
      <c r="N29">
        <v>1.9402646579673168</v>
      </c>
      <c r="O29">
        <v>2.5319132165528062</v>
      </c>
      <c r="P29">
        <v>2.186650301117226</v>
      </c>
    </row>
    <row r="30" spans="1:16" x14ac:dyDescent="0.25">
      <c r="B30">
        <v>4</v>
      </c>
      <c r="C30">
        <v>60</v>
      </c>
      <c r="E30">
        <v>1.9228902740710037</v>
      </c>
      <c r="F30">
        <v>1.0349271087749106</v>
      </c>
      <c r="G30">
        <v>1.4407497559083455</v>
      </c>
      <c r="H30">
        <v>1.2446458416764934</v>
      </c>
      <c r="I30">
        <v>3525.7486422997395</v>
      </c>
      <c r="J30">
        <v>21146.4774144</v>
      </c>
      <c r="K30">
        <v>6488.0392500000007</v>
      </c>
      <c r="L30">
        <v>8034.7235294117645</v>
      </c>
      <c r="M30">
        <v>1.9556851625077507</v>
      </c>
      <c r="N30">
        <v>1.2316218927749105</v>
      </c>
      <c r="O30">
        <v>1.5010985059083455</v>
      </c>
      <c r="P30">
        <v>1.3193811357941405</v>
      </c>
    </row>
    <row r="31" spans="1:16" x14ac:dyDescent="0.25">
      <c r="B31">
        <v>4</v>
      </c>
      <c r="C31">
        <v>70</v>
      </c>
      <c r="E31">
        <v>1.8105030808658744</v>
      </c>
      <c r="F31">
        <v>0.94492023375489431</v>
      </c>
      <c r="G31">
        <v>1.3523079856212421</v>
      </c>
      <c r="H31">
        <v>1.1134743716962201</v>
      </c>
      <c r="I31">
        <v>4113.373416016364</v>
      </c>
      <c r="J31">
        <v>24670.8903168</v>
      </c>
      <c r="K31">
        <v>7569.3791250000004</v>
      </c>
      <c r="L31">
        <v>9373.8441176470606</v>
      </c>
      <c r="M31">
        <v>1.8432979693026215</v>
      </c>
      <c r="N31">
        <v>1.1416150177548943</v>
      </c>
      <c r="O31">
        <v>1.4126567356212421</v>
      </c>
      <c r="P31">
        <v>1.1882096658138672</v>
      </c>
    </row>
    <row r="32" spans="1:16" x14ac:dyDescent="0.25">
      <c r="B32">
        <v>4</v>
      </c>
      <c r="C32">
        <v>80</v>
      </c>
      <c r="E32">
        <v>1.7262126859620279</v>
      </c>
      <c r="F32">
        <v>0.87741507748988223</v>
      </c>
      <c r="G32">
        <v>1.2859766579059146</v>
      </c>
      <c r="H32">
        <v>1.1024879559182705</v>
      </c>
      <c r="I32">
        <v>4700.9981897329881</v>
      </c>
      <c r="J32">
        <v>28195.303219199996</v>
      </c>
      <c r="K32">
        <v>8650.719000000001</v>
      </c>
      <c r="L32">
        <v>10712.964705882356</v>
      </c>
      <c r="M32">
        <v>1.7590075743987748</v>
      </c>
      <c r="N32">
        <v>1.0741098614898823</v>
      </c>
      <c r="O32">
        <v>1.3463254079059148</v>
      </c>
      <c r="P32">
        <v>1.1772232500359177</v>
      </c>
    </row>
    <row r="33" spans="2:16" x14ac:dyDescent="0.25">
      <c r="B33">
        <v>4</v>
      </c>
      <c r="C33">
        <v>90</v>
      </c>
      <c r="E33">
        <v>1.6606534899257028</v>
      </c>
      <c r="F33">
        <v>0.8249110670615396</v>
      </c>
      <c r="G33">
        <v>1.234385625238438</v>
      </c>
      <c r="H33">
        <v>1.0162610221289716</v>
      </c>
      <c r="I33">
        <v>5288.6229634496112</v>
      </c>
      <c r="J33">
        <v>31719.716121599999</v>
      </c>
      <c r="K33">
        <v>9732.0588750000006</v>
      </c>
      <c r="L33">
        <v>12052.085294117645</v>
      </c>
      <c r="M33">
        <v>1.6934483783624497</v>
      </c>
      <c r="N33">
        <v>1.0216058510615398</v>
      </c>
      <c r="O33">
        <v>1.2947343752384379</v>
      </c>
      <c r="P33">
        <v>1.0909963162466185</v>
      </c>
    </row>
    <row r="34" spans="2:16" x14ac:dyDescent="0.25">
      <c r="B34">
        <v>4</v>
      </c>
      <c r="C34">
        <v>100</v>
      </c>
      <c r="E34">
        <v>1.6082061330966426</v>
      </c>
      <c r="F34">
        <v>0.78290785871886548</v>
      </c>
      <c r="G34">
        <v>1.1931127991044566</v>
      </c>
      <c r="H34">
        <v>0.94727947509753252</v>
      </c>
      <c r="I34">
        <v>5876.2477371662362</v>
      </c>
      <c r="J34">
        <v>35244.129023999994</v>
      </c>
      <c r="K34">
        <v>10813.398750000002</v>
      </c>
      <c r="L34">
        <v>13391.205882352941</v>
      </c>
      <c r="M34">
        <v>1.6410010215333899</v>
      </c>
      <c r="N34">
        <v>0.97960264271886544</v>
      </c>
      <c r="O34">
        <v>1.2534615491044567</v>
      </c>
      <c r="P34">
        <v>1.0220147692151795</v>
      </c>
    </row>
    <row r="35" spans="2:16" x14ac:dyDescent="0.25">
      <c r="B35">
        <v>6</v>
      </c>
      <c r="C35">
        <v>110</v>
      </c>
      <c r="E35">
        <v>1.1936921092177215</v>
      </c>
      <c r="F35">
        <v>0.62061154338328595</v>
      </c>
      <c r="G35">
        <v>0.88583176884951598</v>
      </c>
      <c r="H35">
        <v>0.7222034830141727</v>
      </c>
      <c r="I35" s="16">
        <v>4309.2483405885714</v>
      </c>
      <c r="J35" s="16">
        <v>25845.694617600002</v>
      </c>
      <c r="K35" s="16">
        <v>7929.82575</v>
      </c>
      <c r="L35" s="16">
        <v>9820.2176470588256</v>
      </c>
      <c r="M35">
        <v>1.2155553681755531</v>
      </c>
      <c r="N35">
        <v>0.75174139938328588</v>
      </c>
      <c r="O35">
        <v>0.92606426884951609</v>
      </c>
      <c r="P35">
        <v>0.77202701242593752</v>
      </c>
    </row>
    <row r="36" spans="2:16" x14ac:dyDescent="0.25">
      <c r="B36">
        <v>6</v>
      </c>
      <c r="C36">
        <v>120</v>
      </c>
      <c r="E36">
        <v>1.1584399044151021</v>
      </c>
      <c r="F36">
        <v>0.59202271895980074</v>
      </c>
      <c r="G36">
        <v>0.85829561342961302</v>
      </c>
      <c r="H36">
        <v>0.68079125074254598</v>
      </c>
      <c r="I36">
        <v>4700.9981897329862</v>
      </c>
      <c r="J36">
        <v>28195.303219199999</v>
      </c>
      <c r="K36">
        <v>8650.719000000001</v>
      </c>
      <c r="L36">
        <v>10712.964705882352</v>
      </c>
      <c r="M36">
        <v>1.1803031633729335</v>
      </c>
      <c r="N36">
        <v>0.72315257495980079</v>
      </c>
      <c r="O36">
        <v>0.89852811342961303</v>
      </c>
      <c r="P36">
        <v>0.73061478015431069</v>
      </c>
    </row>
    <row r="37" spans="2:16" x14ac:dyDescent="0.25">
      <c r="B37">
        <v>6</v>
      </c>
      <c r="C37">
        <v>130</v>
      </c>
      <c r="E37">
        <v>1.1286111157359633</v>
      </c>
      <c r="F37">
        <v>0.56783217521685192</v>
      </c>
      <c r="G37">
        <v>0.83499578961277221</v>
      </c>
      <c r="H37">
        <v>0.64575013112809276</v>
      </c>
      <c r="I37">
        <v>5092.7480388774011</v>
      </c>
      <c r="J37">
        <v>30544.911820799996</v>
      </c>
      <c r="K37">
        <v>9371.6122500000001</v>
      </c>
      <c r="L37">
        <v>11605.711764705882</v>
      </c>
      <c r="M37">
        <v>1.1504743746937947</v>
      </c>
      <c r="N37">
        <v>0.69896203121685196</v>
      </c>
      <c r="O37">
        <v>0.87522828961277233</v>
      </c>
      <c r="P37">
        <v>0.69557366053985747</v>
      </c>
    </row>
    <row r="38" spans="2:16" x14ac:dyDescent="0.25">
      <c r="B38">
        <v>6</v>
      </c>
      <c r="C38">
        <v>140</v>
      </c>
      <c r="E38">
        <v>1.1030435825824154</v>
      </c>
      <c r="F38">
        <v>0.54709742343718137</v>
      </c>
      <c r="G38">
        <v>0.81502451205547999</v>
      </c>
      <c r="H38">
        <v>0.61571488574427569</v>
      </c>
      <c r="I38">
        <v>5484.4978880218196</v>
      </c>
      <c r="J38">
        <v>32894.520422399997</v>
      </c>
      <c r="K38">
        <v>10092.505500000001</v>
      </c>
      <c r="L38">
        <v>12498.458823529414</v>
      </c>
      <c r="M38">
        <v>1.1249068415402468</v>
      </c>
      <c r="N38">
        <v>0.6782272794371812</v>
      </c>
      <c r="O38">
        <v>0.85525701205547988</v>
      </c>
      <c r="P38">
        <v>0.6655384151560404</v>
      </c>
    </row>
    <row r="39" spans="2:16" x14ac:dyDescent="0.25">
      <c r="B39">
        <v>6</v>
      </c>
      <c r="C39">
        <v>150</v>
      </c>
      <c r="E39">
        <v>1.0808850538493406</v>
      </c>
      <c r="F39">
        <v>0.52912730522813345</v>
      </c>
      <c r="G39">
        <v>0.7977160715058268</v>
      </c>
      <c r="H39">
        <v>0.62075711724088045</v>
      </c>
      <c r="I39">
        <v>5876.2477371662344</v>
      </c>
      <c r="J39">
        <v>35244.129024000002</v>
      </c>
      <c r="K39">
        <v>10813.39875</v>
      </c>
      <c r="L39">
        <v>13391.205882352942</v>
      </c>
      <c r="M39">
        <v>1.102748312807172</v>
      </c>
      <c r="N39">
        <v>0.66025716122813349</v>
      </c>
      <c r="O39">
        <v>0.83794857150582669</v>
      </c>
      <c r="P39">
        <v>0.67058064665264516</v>
      </c>
    </row>
    <row r="40" spans="2:16" x14ac:dyDescent="0.25">
      <c r="B40">
        <v>6</v>
      </c>
      <c r="C40">
        <v>160</v>
      </c>
      <c r="E40">
        <v>1.0614963412079002</v>
      </c>
      <c r="F40">
        <v>0.51340345179521663</v>
      </c>
      <c r="G40">
        <v>0.78257118602488018</v>
      </c>
      <c r="H40">
        <v>0.59603834089799113</v>
      </c>
      <c r="I40">
        <v>6267.9975863106501</v>
      </c>
      <c r="J40">
        <v>37593.737625599992</v>
      </c>
      <c r="K40">
        <v>11534.292000000001</v>
      </c>
      <c r="L40">
        <v>14283.952941176474</v>
      </c>
      <c r="M40">
        <v>1.0833596001657315</v>
      </c>
      <c r="N40">
        <v>0.64453330779521667</v>
      </c>
      <c r="O40">
        <v>0.82280368602488008</v>
      </c>
      <c r="P40">
        <v>0.64586187030975595</v>
      </c>
    </row>
    <row r="41" spans="2:16" x14ac:dyDescent="0.25">
      <c r="B41">
        <v>8</v>
      </c>
      <c r="C41">
        <v>170</v>
      </c>
      <c r="E41">
        <v>0.85130893976918942</v>
      </c>
      <c r="F41">
        <v>0.4356697401306634</v>
      </c>
      <c r="G41">
        <v>0.63373179712621652</v>
      </c>
      <c r="H41">
        <v>0.49495762773623836</v>
      </c>
      <c r="I41">
        <v>4994.8105765912987</v>
      </c>
      <c r="J41">
        <v>29957.509670399999</v>
      </c>
      <c r="K41">
        <v>9191.3889374999999</v>
      </c>
      <c r="L41">
        <v>11382.525</v>
      </c>
      <c r="M41">
        <v>0.86770638398756306</v>
      </c>
      <c r="N41">
        <v>0.53401713213066349</v>
      </c>
      <c r="O41">
        <v>0.6639061721262165</v>
      </c>
      <c r="P41">
        <v>0.53232527479506186</v>
      </c>
    </row>
    <row r="42" spans="2:16" x14ac:dyDescent="0.25">
      <c r="B42">
        <v>8</v>
      </c>
      <c r="C42">
        <v>180</v>
      </c>
      <c r="E42">
        <v>0.83644283114859108</v>
      </c>
      <c r="F42">
        <v>0.42334803143644867</v>
      </c>
      <c r="G42">
        <v>0.62198381805068859</v>
      </c>
      <c r="H42">
        <v>0.47716344106893011</v>
      </c>
      <c r="I42">
        <v>5288.6229634496112</v>
      </c>
      <c r="J42">
        <v>31719.716121599999</v>
      </c>
      <c r="K42">
        <v>9732.0588750000006</v>
      </c>
      <c r="L42">
        <v>12052.085294117645</v>
      </c>
      <c r="M42">
        <v>0.85284027536696461</v>
      </c>
      <c r="N42">
        <v>0.5216954234364487</v>
      </c>
      <c r="O42">
        <v>0.65215819305068856</v>
      </c>
      <c r="P42">
        <v>0.51453108812775361</v>
      </c>
    </row>
    <row r="43" spans="2:16" x14ac:dyDescent="0.25">
      <c r="B43">
        <v>8</v>
      </c>
      <c r="C43">
        <v>190</v>
      </c>
      <c r="E43">
        <v>0.823141576067003</v>
      </c>
      <c r="F43">
        <v>0.41232334471004595</v>
      </c>
      <c r="G43">
        <v>0.61147246835153168</v>
      </c>
      <c r="H43">
        <v>0.46124232668239118</v>
      </c>
      <c r="I43">
        <v>5582.4353503079228</v>
      </c>
      <c r="J43">
        <v>33481.922572799995</v>
      </c>
      <c r="K43">
        <v>10272.728812500001</v>
      </c>
      <c r="L43">
        <v>12721.645588235297</v>
      </c>
      <c r="M43">
        <v>0.83953902028537664</v>
      </c>
      <c r="N43">
        <v>0.51067073671004604</v>
      </c>
      <c r="O43">
        <v>0.64164684335153166</v>
      </c>
      <c r="P43">
        <v>0.49860997374121474</v>
      </c>
    </row>
    <row r="44" spans="2:16" x14ac:dyDescent="0.25">
      <c r="B44">
        <v>8</v>
      </c>
      <c r="C44">
        <v>200</v>
      </c>
      <c r="E44">
        <v>0.81117044649357395</v>
      </c>
      <c r="F44">
        <v>0.40240112665628353</v>
      </c>
      <c r="G44">
        <v>0.60201225362229061</v>
      </c>
      <c r="H44">
        <v>0.44691332373450599</v>
      </c>
      <c r="I44">
        <v>5876.2477371662362</v>
      </c>
      <c r="J44">
        <v>35244.129023999994</v>
      </c>
      <c r="K44">
        <v>10813.398750000002</v>
      </c>
      <c r="L44">
        <v>13391.205882352941</v>
      </c>
      <c r="M44">
        <v>0.82756789071194758</v>
      </c>
      <c r="N44">
        <v>0.50074851865628356</v>
      </c>
      <c r="O44">
        <v>0.63218662862229069</v>
      </c>
      <c r="P44">
        <v>0.48428097079332949</v>
      </c>
    </row>
    <row r="51" spans="1:17" ht="60" x14ac:dyDescent="0.25">
      <c r="A51" s="22" t="s">
        <v>374</v>
      </c>
      <c r="C51" s="3" t="s">
        <v>370</v>
      </c>
      <c r="D51" s="3" t="s">
        <v>371</v>
      </c>
      <c r="E51" s="33" t="s">
        <v>277</v>
      </c>
      <c r="F51" s="33"/>
      <c r="G51" s="33"/>
      <c r="H51" s="33"/>
      <c r="I51" s="33" t="s">
        <v>163</v>
      </c>
      <c r="J51" s="33"/>
      <c r="K51" s="33"/>
      <c r="L51" s="33"/>
      <c r="M51" s="33" t="s">
        <v>365</v>
      </c>
      <c r="N51" s="33"/>
      <c r="O51" s="33"/>
      <c r="P51" s="33"/>
      <c r="Q51" s="3" t="s">
        <v>375</v>
      </c>
    </row>
    <row r="52" spans="1:17" x14ac:dyDescent="0.25">
      <c r="C52" s="3"/>
      <c r="D52" s="3"/>
      <c r="E52" s="7" t="s">
        <v>273</v>
      </c>
      <c r="F52" s="7" t="s">
        <v>274</v>
      </c>
      <c r="G52" s="7" t="s">
        <v>275</v>
      </c>
      <c r="H52" s="7" t="s">
        <v>276</v>
      </c>
      <c r="I52" s="7" t="s">
        <v>273</v>
      </c>
      <c r="J52" s="7" t="s">
        <v>274</v>
      </c>
      <c r="K52" s="7" t="s">
        <v>275</v>
      </c>
      <c r="L52" s="7" t="s">
        <v>276</v>
      </c>
      <c r="M52" s="7" t="s">
        <v>273</v>
      </c>
      <c r="N52" s="7" t="s">
        <v>274</v>
      </c>
      <c r="O52" s="7" t="s">
        <v>275</v>
      </c>
      <c r="P52" s="7" t="s">
        <v>276</v>
      </c>
    </row>
    <row r="53" spans="1:17" x14ac:dyDescent="0.25">
      <c r="C53">
        <v>10</v>
      </c>
      <c r="D53">
        <v>22</v>
      </c>
      <c r="E53">
        <v>0.2802547156532364</v>
      </c>
      <c r="F53">
        <v>0.13600399762375445</v>
      </c>
      <c r="G53">
        <v>0.11530983952834063</v>
      </c>
      <c r="H53">
        <v>0.12405636275596112</v>
      </c>
      <c r="I53">
        <v>6410.4520769086184</v>
      </c>
      <c r="J53">
        <v>38448.140753454543</v>
      </c>
      <c r="K53">
        <v>11796.434999999999</v>
      </c>
      <c r="L53">
        <v>14608.588235294119</v>
      </c>
      <c r="M53">
        <v>0.28621742264173589</v>
      </c>
      <c r="N53">
        <v>0.17176668562375447</v>
      </c>
      <c r="O53">
        <v>0.12628233952834061</v>
      </c>
      <c r="P53">
        <v>0.13764459805007875</v>
      </c>
      <c r="Q53">
        <v>216</v>
      </c>
    </row>
    <row r="54" spans="1:17" x14ac:dyDescent="0.25">
      <c r="C54">
        <v>15</v>
      </c>
      <c r="D54">
        <v>16</v>
      </c>
      <c r="E54">
        <v>0.52967857658269624</v>
      </c>
      <c r="F54">
        <v>0.26053169111024582</v>
      </c>
      <c r="G54">
        <v>0.25689305942300306</v>
      </c>
      <c r="H54">
        <v>0.25445986449358532</v>
      </c>
      <c r="I54">
        <v>5876.2477371662344</v>
      </c>
      <c r="J54">
        <v>35244.129024000002</v>
      </c>
      <c r="K54">
        <v>10813.39875</v>
      </c>
      <c r="L54">
        <v>13391.205882352942</v>
      </c>
      <c r="M54">
        <v>0.54061020606161192</v>
      </c>
      <c r="N54">
        <v>0.32609661911024579</v>
      </c>
      <c r="O54">
        <v>0.27700930942300306</v>
      </c>
      <c r="P54">
        <v>0.27937162919946773</v>
      </c>
      <c r="Q54">
        <v>144</v>
      </c>
    </row>
    <row r="55" spans="1:17" x14ac:dyDescent="0.25">
      <c r="C55">
        <v>20</v>
      </c>
      <c r="D55">
        <v>12</v>
      </c>
      <c r="E55">
        <v>0.52967857658269624</v>
      </c>
      <c r="F55">
        <v>0.26053169111024582</v>
      </c>
      <c r="G55">
        <v>0.25689305942300306</v>
      </c>
      <c r="H55">
        <v>0.25445986449358532</v>
      </c>
      <c r="I55">
        <v>5876.2477371662344</v>
      </c>
      <c r="J55">
        <v>35244.129024000002</v>
      </c>
      <c r="K55">
        <v>10813.39875</v>
      </c>
      <c r="L55">
        <v>13391.205882352942</v>
      </c>
      <c r="M55">
        <v>0.54061020606161192</v>
      </c>
      <c r="N55">
        <v>0.32609661911024579</v>
      </c>
      <c r="O55">
        <v>0.27700930942300306</v>
      </c>
      <c r="P55">
        <v>0.27937162919946773</v>
      </c>
      <c r="Q55">
        <v>108</v>
      </c>
    </row>
    <row r="56" spans="1:17" x14ac:dyDescent="0.25">
      <c r="C56">
        <v>30</v>
      </c>
      <c r="D56">
        <v>8</v>
      </c>
      <c r="E56">
        <v>0.79973095467617517</v>
      </c>
      <c r="F56">
        <v>0.39096163483888474</v>
      </c>
      <c r="G56">
        <v>0.43814379173893553</v>
      </c>
      <c r="H56">
        <v>0.40467728194247504</v>
      </c>
      <c r="I56">
        <v>5876.2477371662362</v>
      </c>
      <c r="J56">
        <v>35244.129023999994</v>
      </c>
      <c r="K56">
        <v>10813.398750000002</v>
      </c>
      <c r="L56">
        <v>13391.205882352941</v>
      </c>
      <c r="M56">
        <v>0.8161283988945488</v>
      </c>
      <c r="N56">
        <v>0.48930902683888478</v>
      </c>
      <c r="O56">
        <v>0.46831816673893556</v>
      </c>
      <c r="P56">
        <v>0.4420449290012986</v>
      </c>
      <c r="Q56">
        <v>72</v>
      </c>
    </row>
    <row r="57" spans="1:17" x14ac:dyDescent="0.25">
      <c r="C57">
        <v>45</v>
      </c>
      <c r="D57">
        <v>6</v>
      </c>
      <c r="E57">
        <v>1.1139427332235223</v>
      </c>
      <c r="F57">
        <v>0.55485526618526781</v>
      </c>
      <c r="G57">
        <v>0.72066678318171629</v>
      </c>
      <c r="H57">
        <v>0.62063930757960317</v>
      </c>
      <c r="I57">
        <v>5223.3313219255424</v>
      </c>
      <c r="J57">
        <v>31328.114687999998</v>
      </c>
      <c r="K57">
        <v>9611.91</v>
      </c>
      <c r="L57">
        <v>11903.294117647061</v>
      </c>
      <c r="M57">
        <v>1.1358059921813537</v>
      </c>
      <c r="N57">
        <v>0.68598512218526775</v>
      </c>
      <c r="O57">
        <v>0.76089928318171618</v>
      </c>
      <c r="P57">
        <v>0.67046283699136799</v>
      </c>
      <c r="Q57">
        <v>48</v>
      </c>
    </row>
    <row r="58" spans="1:17" x14ac:dyDescent="0.25">
      <c r="C58">
        <v>60</v>
      </c>
      <c r="D58">
        <v>4</v>
      </c>
      <c r="E58">
        <v>1.6082061330966426</v>
      </c>
      <c r="F58">
        <v>0.78290785871886548</v>
      </c>
      <c r="G58">
        <v>1.1931127991044566</v>
      </c>
      <c r="H58">
        <v>0.94727947509753252</v>
      </c>
      <c r="I58">
        <v>5876.2477371662362</v>
      </c>
      <c r="J58">
        <v>35244.129023999994</v>
      </c>
      <c r="K58">
        <v>10813.398750000002</v>
      </c>
      <c r="L58">
        <v>13391.205882352941</v>
      </c>
      <c r="M58">
        <v>1.6410010215333899</v>
      </c>
      <c r="N58">
        <v>0.97960264271886544</v>
      </c>
      <c r="O58">
        <v>1.2534615491044567</v>
      </c>
      <c r="P58">
        <v>1.0220147692151795</v>
      </c>
      <c r="Q58">
        <v>36</v>
      </c>
    </row>
    <row r="59" spans="1:17" x14ac:dyDescent="0.25">
      <c r="C59">
        <v>75</v>
      </c>
      <c r="D59">
        <v>4</v>
      </c>
      <c r="E59">
        <v>1.7319324318707274</v>
      </c>
      <c r="F59">
        <v>0.88313482339858174</v>
      </c>
      <c r="G59">
        <v>1.4441253738805708</v>
      </c>
      <c r="H59">
        <v>1.121525814460151</v>
      </c>
      <c r="I59">
        <v>4700.9981897329881</v>
      </c>
      <c r="J59">
        <v>28195.303219199996</v>
      </c>
      <c r="K59">
        <v>8650.719000000001</v>
      </c>
      <c r="L59">
        <v>10712.964705882356</v>
      </c>
      <c r="M59">
        <v>1.7647273203074745</v>
      </c>
      <c r="N59">
        <v>1.0798296073985818</v>
      </c>
      <c r="O59">
        <v>1.5044741238805708</v>
      </c>
      <c r="P59">
        <v>1.1962611085777981</v>
      </c>
      <c r="Q59">
        <v>30</v>
      </c>
    </row>
    <row r="60" spans="1:17" x14ac:dyDescent="0.25">
      <c r="C60">
        <v>90</v>
      </c>
      <c r="D60">
        <v>4</v>
      </c>
      <c r="E60">
        <v>1.8556587306448125</v>
      </c>
      <c r="F60">
        <v>0.9833617880782981</v>
      </c>
      <c r="G60">
        <v>1.6951379486566849</v>
      </c>
      <c r="H60">
        <v>1.2957721538227696</v>
      </c>
      <c r="I60">
        <v>3917.4984914441561</v>
      </c>
      <c r="J60">
        <v>23496.086015999997</v>
      </c>
      <c r="K60">
        <v>7208.9324999999999</v>
      </c>
      <c r="L60">
        <v>8927.4705882352955</v>
      </c>
      <c r="M60">
        <v>1.8884536190815595</v>
      </c>
      <c r="N60">
        <v>1.1800565720782981</v>
      </c>
      <c r="O60">
        <v>1.7554866986566848</v>
      </c>
      <c r="P60">
        <v>1.3705074479404165</v>
      </c>
      <c r="Q60">
        <v>24</v>
      </c>
    </row>
    <row r="65" spans="1:17" ht="60" x14ac:dyDescent="0.25">
      <c r="A65" s="22" t="s">
        <v>405</v>
      </c>
      <c r="C65" s="3" t="s">
        <v>406</v>
      </c>
      <c r="E65" s="33" t="s">
        <v>277</v>
      </c>
      <c r="F65" s="33"/>
      <c r="G65" s="33"/>
      <c r="H65" s="33"/>
      <c r="I65" s="33" t="s">
        <v>163</v>
      </c>
      <c r="J65" s="33"/>
      <c r="K65" s="33"/>
      <c r="L65" s="33"/>
      <c r="M65" s="33" t="s">
        <v>365</v>
      </c>
      <c r="N65" s="33"/>
      <c r="O65" s="33"/>
      <c r="P65" s="33"/>
      <c r="Q65" s="3"/>
    </row>
    <row r="66" spans="1:17" x14ac:dyDescent="0.25">
      <c r="E66" s="10" t="s">
        <v>273</v>
      </c>
      <c r="F66" s="10" t="s">
        <v>274</v>
      </c>
      <c r="G66" s="10" t="s">
        <v>275</v>
      </c>
      <c r="H66" s="10" t="s">
        <v>276</v>
      </c>
      <c r="I66" s="10" t="s">
        <v>273</v>
      </c>
      <c r="J66" s="10" t="s">
        <v>274</v>
      </c>
      <c r="K66" s="10" t="s">
        <v>275</v>
      </c>
      <c r="L66" s="10" t="s">
        <v>276</v>
      </c>
      <c r="M66" s="10" t="s">
        <v>273</v>
      </c>
      <c r="N66" s="10" t="s">
        <v>274</v>
      </c>
      <c r="O66" s="10" t="s">
        <v>275</v>
      </c>
      <c r="P66" s="10" t="s">
        <v>276</v>
      </c>
    </row>
    <row r="67" spans="1:17" x14ac:dyDescent="0.25">
      <c r="C67">
        <v>0</v>
      </c>
      <c r="E67">
        <v>1.6359949767298982</v>
      </c>
      <c r="F67">
        <v>0.79696836690146666</v>
      </c>
      <c r="G67">
        <v>0.88275286715514489</v>
      </c>
      <c r="H67">
        <v>0.82523884023539684</v>
      </c>
      <c r="I67" s="16">
        <v>5876.2477371662362</v>
      </c>
      <c r="J67" s="16">
        <v>35244.129023999994</v>
      </c>
      <c r="K67" s="16">
        <v>10813.398750000002</v>
      </c>
      <c r="L67" s="16">
        <v>13391.205882352941</v>
      </c>
      <c r="M67">
        <v>1.6359949767298982</v>
      </c>
      <c r="N67">
        <v>0.79696836690146666</v>
      </c>
      <c r="O67">
        <v>0.88275286715514489</v>
      </c>
      <c r="P67">
        <v>0.82523884023539684</v>
      </c>
    </row>
    <row r="68" spans="1:17" x14ac:dyDescent="0.25">
      <c r="C68">
        <v>50</v>
      </c>
      <c r="E68">
        <v>1.6359949767298982</v>
      </c>
      <c r="F68">
        <v>0.79696836690146666</v>
      </c>
      <c r="G68">
        <v>0.88275286715514489</v>
      </c>
      <c r="H68">
        <v>0.82523884023539684</v>
      </c>
      <c r="I68">
        <v>5876.2477371662362</v>
      </c>
      <c r="J68">
        <v>35244.129023999994</v>
      </c>
      <c r="K68">
        <v>10813.398750000002</v>
      </c>
      <c r="L68">
        <v>13391.205882352941</v>
      </c>
      <c r="M68">
        <v>1.6434483604655228</v>
      </c>
      <c r="N68">
        <v>0.84167172690146663</v>
      </c>
      <c r="O68">
        <v>0.8964684921551449</v>
      </c>
      <c r="P68">
        <v>0.84222413435304389</v>
      </c>
    </row>
    <row r="69" spans="1:17" x14ac:dyDescent="0.25">
      <c r="C69">
        <v>100</v>
      </c>
      <c r="E69">
        <v>1.6359949767298982</v>
      </c>
      <c r="F69">
        <v>0.79696836690146666</v>
      </c>
      <c r="G69">
        <v>0.88275286715514489</v>
      </c>
      <c r="H69">
        <v>0.82523884023539684</v>
      </c>
      <c r="I69">
        <v>5876.2477371662362</v>
      </c>
      <c r="J69">
        <v>35244.129023999994</v>
      </c>
      <c r="K69">
        <v>10813.398750000002</v>
      </c>
      <c r="L69">
        <v>13391.205882352941</v>
      </c>
      <c r="M69">
        <v>1.6509017442011469</v>
      </c>
      <c r="N69">
        <v>0.8863750869014666</v>
      </c>
      <c r="O69">
        <v>0.9101841171551448</v>
      </c>
      <c r="P69">
        <v>0.85920942847069104</v>
      </c>
    </row>
    <row r="70" spans="1:17" x14ac:dyDescent="0.25">
      <c r="C70">
        <v>150</v>
      </c>
      <c r="E70">
        <v>1.6359949767298982</v>
      </c>
      <c r="F70">
        <v>0.79696836690146666</v>
      </c>
      <c r="G70">
        <v>0.88275286715514489</v>
      </c>
      <c r="H70">
        <v>0.82523884023539684</v>
      </c>
      <c r="I70">
        <v>5876.2477371662362</v>
      </c>
      <c r="J70">
        <v>35244.129023999994</v>
      </c>
      <c r="K70">
        <v>10813.398750000002</v>
      </c>
      <c r="L70">
        <v>13391.205882352941</v>
      </c>
      <c r="M70">
        <v>1.6583551279367701</v>
      </c>
      <c r="N70">
        <v>0.93107844690146657</v>
      </c>
      <c r="O70">
        <v>0.92389974215514481</v>
      </c>
      <c r="P70">
        <v>0.87619472258833786</v>
      </c>
    </row>
    <row r="71" spans="1:17" x14ac:dyDescent="0.25">
      <c r="C71">
        <v>200</v>
      </c>
      <c r="E71">
        <v>1.6359949767298982</v>
      </c>
      <c r="F71">
        <v>0.79696836690146666</v>
      </c>
      <c r="G71">
        <v>0.88275286715514489</v>
      </c>
      <c r="H71">
        <v>0.82523884023539684</v>
      </c>
      <c r="I71">
        <v>5876.2477371662362</v>
      </c>
      <c r="J71">
        <v>35244.129023999994</v>
      </c>
      <c r="K71">
        <v>10813.398750000002</v>
      </c>
      <c r="L71">
        <v>13391.205882352941</v>
      </c>
      <c r="M71">
        <v>1.6658085116723957</v>
      </c>
      <c r="N71">
        <v>0.97578180690146665</v>
      </c>
      <c r="O71">
        <v>0.93761536715514482</v>
      </c>
      <c r="P71">
        <v>0.89318001670598501</v>
      </c>
    </row>
    <row r="72" spans="1:17" x14ac:dyDescent="0.25">
      <c r="C72">
        <v>250</v>
      </c>
      <c r="E72">
        <v>1.6359949767298982</v>
      </c>
      <c r="F72">
        <v>0.79696836690146666</v>
      </c>
      <c r="G72">
        <v>0.88275286715514489</v>
      </c>
      <c r="H72">
        <v>0.82523884023539684</v>
      </c>
      <c r="I72">
        <v>5876.2477371662362</v>
      </c>
      <c r="J72">
        <v>35244.129023999994</v>
      </c>
      <c r="K72">
        <v>10813.398750000002</v>
      </c>
      <c r="L72">
        <v>13391.205882352941</v>
      </c>
      <c r="M72">
        <v>1.6732618954080201</v>
      </c>
      <c r="N72">
        <v>1.0204851669014667</v>
      </c>
      <c r="O72">
        <v>0.95133099215514483</v>
      </c>
      <c r="P72">
        <v>0.91016531082363228</v>
      </c>
    </row>
    <row r="73" spans="1:17" x14ac:dyDescent="0.25">
      <c r="C73">
        <v>300</v>
      </c>
      <c r="E73">
        <v>1.6359949767298982</v>
      </c>
      <c r="F73">
        <v>0.79696836690146666</v>
      </c>
      <c r="G73">
        <v>0.88275286715514489</v>
      </c>
      <c r="H73">
        <v>0.82523884023539684</v>
      </c>
      <c r="I73">
        <v>5876.2477371662362</v>
      </c>
      <c r="J73">
        <v>35244.129023999994</v>
      </c>
      <c r="K73">
        <v>10813.398750000002</v>
      </c>
      <c r="L73">
        <v>13391.205882352941</v>
      </c>
      <c r="M73">
        <v>1.6807152791436444</v>
      </c>
      <c r="N73">
        <v>1.0651885269014667</v>
      </c>
      <c r="O73">
        <v>0.96504661715514484</v>
      </c>
      <c r="P73">
        <v>0.9271506049412791</v>
      </c>
    </row>
    <row r="74" spans="1:17" x14ac:dyDescent="0.25">
      <c r="C74">
        <v>350</v>
      </c>
      <c r="E74">
        <v>1.6359949767298982</v>
      </c>
      <c r="F74">
        <v>0.79696836690146666</v>
      </c>
      <c r="G74">
        <v>0.88275286715514489</v>
      </c>
      <c r="H74">
        <v>0.82523884023539684</v>
      </c>
      <c r="I74">
        <v>5876.2477371662362</v>
      </c>
      <c r="J74">
        <v>35244.129023999994</v>
      </c>
      <c r="K74">
        <v>10813.398750000002</v>
      </c>
      <c r="L74">
        <v>13391.205882352941</v>
      </c>
      <c r="M74">
        <v>1.6881686628792689</v>
      </c>
      <c r="N74">
        <v>1.1098918869014665</v>
      </c>
      <c r="O74">
        <v>0.97876224215514485</v>
      </c>
      <c r="P74">
        <v>0.94413589905892625</v>
      </c>
    </row>
    <row r="75" spans="1:17" x14ac:dyDescent="0.25">
      <c r="C75">
        <v>400</v>
      </c>
      <c r="E75">
        <v>1.6359949767298982</v>
      </c>
      <c r="F75">
        <v>0.79696836690146666</v>
      </c>
      <c r="G75">
        <v>0.88275286715514489</v>
      </c>
      <c r="H75">
        <v>0.82523884023539684</v>
      </c>
      <c r="I75">
        <v>5876.2477371662362</v>
      </c>
      <c r="J75">
        <v>35244.129023999994</v>
      </c>
      <c r="K75">
        <v>10813.398750000002</v>
      </c>
      <c r="L75">
        <v>13391.205882352941</v>
      </c>
      <c r="M75">
        <v>1.695622046614893</v>
      </c>
      <c r="N75">
        <v>1.1545952469014664</v>
      </c>
      <c r="O75">
        <v>0.99247786715514486</v>
      </c>
      <c r="P75">
        <v>0.96112119317657341</v>
      </c>
    </row>
    <row r="76" spans="1:17" x14ac:dyDescent="0.25">
      <c r="C76">
        <v>450</v>
      </c>
      <c r="E76">
        <v>1.6359949767298982</v>
      </c>
      <c r="F76">
        <v>0.79696836690146666</v>
      </c>
      <c r="G76">
        <v>0.88275286715514489</v>
      </c>
      <c r="H76">
        <v>0.82523884023539684</v>
      </c>
      <c r="I76">
        <v>5876.2477371662362</v>
      </c>
      <c r="J76">
        <v>35244.129023999994</v>
      </c>
      <c r="K76">
        <v>10813.398750000002</v>
      </c>
      <c r="L76">
        <v>13391.205882352941</v>
      </c>
      <c r="M76">
        <v>1.7030754303505176</v>
      </c>
      <c r="N76">
        <v>1.1992986069014666</v>
      </c>
      <c r="O76">
        <v>1.0061934921551448</v>
      </c>
      <c r="P76">
        <v>0.97810648729422034</v>
      </c>
    </row>
    <row r="77" spans="1:17" x14ac:dyDescent="0.25">
      <c r="C77">
        <v>500</v>
      </c>
      <c r="E77">
        <v>1.6359949767298982</v>
      </c>
      <c r="F77">
        <v>0.79696836690146666</v>
      </c>
      <c r="G77">
        <v>0.88275286715514489</v>
      </c>
      <c r="H77">
        <v>0.82523884023539684</v>
      </c>
      <c r="I77">
        <v>5876.2477371662362</v>
      </c>
      <c r="J77">
        <v>35244.129023999994</v>
      </c>
      <c r="K77">
        <v>10813.398750000002</v>
      </c>
      <c r="L77">
        <v>13391.205882352941</v>
      </c>
      <c r="M77">
        <v>1.7105288140861419</v>
      </c>
      <c r="N77">
        <v>1.2440019669014666</v>
      </c>
      <c r="O77">
        <v>1.0199091171551449</v>
      </c>
      <c r="P77">
        <v>0.99509178141186727</v>
      </c>
    </row>
  </sheetData>
  <mergeCells count="12">
    <mergeCell ref="E2:H2"/>
    <mergeCell ref="I2:L2"/>
    <mergeCell ref="M2:P2"/>
    <mergeCell ref="E25:H25"/>
    <mergeCell ref="I25:L25"/>
    <mergeCell ref="M25:P25"/>
    <mergeCell ref="E65:H65"/>
    <mergeCell ref="I65:L65"/>
    <mergeCell ref="M65:P65"/>
    <mergeCell ref="E51:H51"/>
    <mergeCell ref="I51:L51"/>
    <mergeCell ref="M51:P5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87B9F3429580498212597FB605BF70" ma:contentTypeVersion="11" ma:contentTypeDescription="Crée un document." ma:contentTypeScope="" ma:versionID="61e2f8c4091e7f86f4ce7d4711e09a69">
  <xsd:schema xmlns:xsd="http://www.w3.org/2001/XMLSchema" xmlns:xs="http://www.w3.org/2001/XMLSchema" xmlns:p="http://schemas.microsoft.com/office/2006/metadata/properties" xmlns:ns2="4b064819-03de-4d5a-9f3d-fc06b3a29509" xmlns:ns3="1eb5e94d-4f0d-48a1-bb21-3389c9c48a71" targetNamespace="http://schemas.microsoft.com/office/2006/metadata/properties" ma:root="true" ma:fieldsID="fed1bb18041b6850d75375e6f64fcefc" ns2:_="" ns3:_="">
    <xsd:import namespace="4b064819-03de-4d5a-9f3d-fc06b3a29509"/>
    <xsd:import namespace="1eb5e94d-4f0d-48a1-bb21-3389c9c48a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Descrip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064819-03de-4d5a-9f3d-fc06b3a295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Description" ma:index="16" nillable="true" ma:displayName="Description" ma:format="Dropdown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5e94d-4f0d-48a1-bb21-3389c9c48a7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 xmlns="4b064819-03de-4d5a-9f3d-fc06b3a2950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B00C5C-0AE8-4193-BD81-0EB263BC97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064819-03de-4d5a-9f3d-fc06b3a29509"/>
    <ds:schemaRef ds:uri="1eb5e94d-4f0d-48a1-bb21-3389c9c48a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79C284-9C59-453A-9C53-E934ED79074F}">
  <ds:schemaRefs>
    <ds:schemaRef ds:uri="http://schemas.microsoft.com/office/2006/metadata/properties"/>
    <ds:schemaRef ds:uri="http://schemas.microsoft.com/office/infopath/2007/PartnerControls"/>
    <ds:schemaRef ds:uri="4b064819-03de-4d5a-9f3d-fc06b3a29509"/>
  </ds:schemaRefs>
</ds:datastoreItem>
</file>

<file path=customXml/itemProps3.xml><?xml version="1.0" encoding="utf-8"?>
<ds:datastoreItem xmlns:ds="http://schemas.openxmlformats.org/officeDocument/2006/customXml" ds:itemID="{25595E48-D46E-4F7E-B184-E33C4C5C8B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Graphiques</vt:lpstr>
      </vt:variant>
      <vt:variant>
        <vt:i4>7</vt:i4>
      </vt:variant>
    </vt:vector>
  </HeadingPairs>
  <TitlesOfParts>
    <vt:vector size="15" baseType="lpstr">
      <vt:lpstr>References</vt:lpstr>
      <vt:lpstr>General</vt:lpstr>
      <vt:lpstr>HydrogenFC</vt:lpstr>
      <vt:lpstr>Diesel</vt:lpstr>
      <vt:lpstr>Electric</vt:lpstr>
      <vt:lpstr>BatteryElectric</vt:lpstr>
      <vt:lpstr>CostAnalysis vs time</vt:lpstr>
      <vt:lpstr>Results</vt:lpstr>
      <vt:lpstr>Fig costanalysis vs time</vt:lpstr>
      <vt:lpstr>TCO ifo line length</vt:lpstr>
      <vt:lpstr>TCO, incl.CO2 costs, ifo length</vt:lpstr>
      <vt:lpstr>CO2 per train ifo length</vt:lpstr>
      <vt:lpstr>TCO ifo #trains</vt:lpstr>
      <vt:lpstr>TCO inc. CO2 cost ifo #trains</vt:lpstr>
      <vt:lpstr>CO2 per train ifo #trains</vt:lpstr>
    </vt:vector>
  </TitlesOfParts>
  <Company>Infrabel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Infrabel</dc:creator>
  <cp:lastModifiedBy>Philippe STEFANOS</cp:lastModifiedBy>
  <dcterms:created xsi:type="dcterms:W3CDTF">2019-10-28T13:20:11Z</dcterms:created>
  <dcterms:modified xsi:type="dcterms:W3CDTF">2019-11-08T11:12:04Z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0x0101002A87B9F3429580498212597FB605BF70</vt:lpwstr>
  </property>
</Properties>
</file>